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2010" sheetId="1" r:id="rId1"/>
    <sheet name="Sheet3" sheetId="3" r:id="rId2"/>
  </sheets>
  <definedNames>
    <definedName name="solver_adj" localSheetId="0" hidden="1">'2010'!$B$39:$G$42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'2010'!$B$39:$G$42</definedName>
    <definedName name="solver_lhs2" localSheetId="0" hidden="1">'2010'!$B$43:$G$43</definedName>
    <definedName name="solver_lhs3" localSheetId="0" hidden="1">'2010'!$B$43:$G$43</definedName>
    <definedName name="solver_lhs4" localSheetId="0" hidden="1">'2010'!$B$39:$G$42</definedName>
    <definedName name="solver_lin" localSheetId="0" hidden="1">2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'2010'!$E$54</definedName>
    <definedName name="solver_pre" localSheetId="0" hidden="1">0.000001</definedName>
    <definedName name="solver_rel1" localSheetId="0" hidden="1">5</definedName>
    <definedName name="solver_rel2" localSheetId="0" hidden="1">2</definedName>
    <definedName name="solver_rel3" localSheetId="0" hidden="1">2</definedName>
    <definedName name="solver_rel4" localSheetId="0" hidden="1">5</definedName>
    <definedName name="solver_rhs1" localSheetId="0" hidden="1">binary</definedName>
    <definedName name="solver_rhs2" localSheetId="0" hidden="1">'2010'!$B$44:$G$44</definedName>
    <definedName name="solver_rhs3" localSheetId="0" hidden="1">'2010'!$B$44:$G$44</definedName>
    <definedName name="solver_rhs4" localSheetId="0" hidden="1">binary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D15" i="1"/>
  <c r="H28"/>
  <c r="H29"/>
  <c r="H30"/>
  <c r="H31"/>
  <c r="H32"/>
  <c r="H33"/>
  <c r="H27"/>
  <c r="C5"/>
  <c r="N28"/>
  <c r="N29"/>
  <c r="N30"/>
  <c r="N31"/>
  <c r="N32"/>
  <c r="N33"/>
  <c r="M29"/>
  <c r="M28"/>
  <c r="M30"/>
  <c r="M31"/>
  <c r="M32"/>
  <c r="M33"/>
  <c r="M35" s="1"/>
  <c r="M27"/>
  <c r="N27"/>
  <c r="N35" s="1"/>
  <c r="L28"/>
  <c r="L29"/>
  <c r="L30"/>
  <c r="L31"/>
  <c r="L32"/>
  <c r="L33"/>
  <c r="L35" s="1"/>
  <c r="L27"/>
  <c r="K28"/>
  <c r="K29"/>
  <c r="K30"/>
  <c r="K31"/>
  <c r="K35" s="1"/>
  <c r="K32"/>
  <c r="K33"/>
  <c r="K27"/>
  <c r="J28"/>
  <c r="J29"/>
  <c r="J30"/>
  <c r="J31"/>
  <c r="J32"/>
  <c r="J33"/>
  <c r="J27"/>
  <c r="J35"/>
  <c r="C50"/>
  <c r="D51"/>
  <c r="D53"/>
  <c r="I41"/>
  <c r="D52" s="1"/>
  <c r="C7"/>
  <c r="B7"/>
  <c r="B5"/>
  <c r="B45"/>
  <c r="G44"/>
  <c r="F44"/>
  <c r="E44"/>
  <c r="D44"/>
  <c r="C44"/>
  <c r="B44"/>
  <c r="I23"/>
  <c r="D23" s="1"/>
  <c r="E23" s="1"/>
  <c r="G28"/>
  <c r="G29"/>
  <c r="G30"/>
  <c r="G31"/>
  <c r="G32"/>
  <c r="G33"/>
  <c r="B22"/>
  <c r="B24" s="1"/>
  <c r="G27"/>
  <c r="I42"/>
  <c r="C53" s="1"/>
  <c r="I39"/>
  <c r="I40"/>
  <c r="C51" s="1"/>
  <c r="F23" l="1"/>
  <c r="G23" s="1"/>
  <c r="H23"/>
  <c r="C43" l="1"/>
  <c r="D43"/>
  <c r="E43"/>
  <c r="F43"/>
  <c r="G43"/>
  <c r="B4"/>
  <c r="C21"/>
  <c r="D21" s="1"/>
  <c r="B33" s="1"/>
  <c r="D54" l="1"/>
  <c r="E21"/>
  <c r="C33" s="1"/>
  <c r="C20"/>
  <c r="D20" s="1"/>
  <c r="B32" s="1"/>
  <c r="C19"/>
  <c r="D19" s="1"/>
  <c r="B31" s="1"/>
  <c r="C18"/>
  <c r="D18" s="1"/>
  <c r="B30" s="1"/>
  <c r="C16"/>
  <c r="D16"/>
  <c r="B28" s="1"/>
  <c r="C17"/>
  <c r="D17" s="1"/>
  <c r="B29" s="1"/>
  <c r="C15"/>
  <c r="C22" l="1"/>
  <c r="E15"/>
  <c r="E18"/>
  <c r="C30" s="1"/>
  <c r="E20"/>
  <c r="C32" s="1"/>
  <c r="E17"/>
  <c r="C29" s="1"/>
  <c r="E19"/>
  <c r="C31" s="1"/>
  <c r="E16"/>
  <c r="C28" s="1"/>
  <c r="F21"/>
  <c r="D33" s="1"/>
  <c r="C54"/>
  <c r="E54" s="1"/>
  <c r="E22" l="1"/>
  <c r="E24" s="1"/>
  <c r="C27"/>
  <c r="D22"/>
  <c r="D24" s="1"/>
  <c r="B27"/>
  <c r="C24"/>
  <c r="F17"/>
  <c r="D29" s="1"/>
  <c r="F20"/>
  <c r="D32" s="1"/>
  <c r="F15"/>
  <c r="C35"/>
  <c r="G21"/>
  <c r="E33" s="1"/>
  <c r="F16"/>
  <c r="D28" s="1"/>
  <c r="F19"/>
  <c r="D31" s="1"/>
  <c r="F18"/>
  <c r="D30" s="1"/>
  <c r="B35" l="1"/>
  <c r="B43"/>
  <c r="F22"/>
  <c r="F24" s="1"/>
  <c r="D27"/>
  <c r="G18"/>
  <c r="E30" s="1"/>
  <c r="G19"/>
  <c r="E31" s="1"/>
  <c r="G16"/>
  <c r="E28" s="1"/>
  <c r="H21"/>
  <c r="F33" s="1"/>
  <c r="G15"/>
  <c r="D35"/>
  <c r="G20"/>
  <c r="E32" s="1"/>
  <c r="G17"/>
  <c r="E29" s="1"/>
  <c r="G22" l="1"/>
  <c r="G24" s="1"/>
  <c r="E27"/>
  <c r="H17"/>
  <c r="F29" s="1"/>
  <c r="H20"/>
  <c r="F32" s="1"/>
  <c r="H15"/>
  <c r="F27" s="1"/>
  <c r="E35"/>
  <c r="H16"/>
  <c r="F28" s="1"/>
  <c r="H19"/>
  <c r="F31" s="1"/>
  <c r="H18"/>
  <c r="F30" s="1"/>
  <c r="F35" l="1"/>
  <c r="H22"/>
  <c r="H24" s="1"/>
</calcChain>
</file>

<file path=xl/comments1.xml><?xml version="1.0" encoding="utf-8"?>
<comments xmlns="http://schemas.openxmlformats.org/spreadsheetml/2006/main">
  <authors>
    <author>Andrea Schmidt</author>
  </authors>
  <commentList>
    <comment ref="B4" authorId="0">
      <text>
        <r>
          <rPr>
            <b/>
            <sz val="9"/>
            <color indexed="81"/>
            <rFont val="Tahoma"/>
            <family val="2"/>
          </rPr>
          <t>Andrea Schmidt:</t>
        </r>
        <r>
          <rPr>
            <sz val="9"/>
            <color indexed="81"/>
            <rFont val="Tahoma"/>
            <family val="2"/>
          </rPr>
          <t xml:space="preserve">
cost of 1 pod per month multiplied over 12 months
</t>
        </r>
      </text>
    </comment>
    <comment ref="B5" authorId="0">
      <text>
        <r>
          <rPr>
            <b/>
            <sz val="9"/>
            <color indexed="81"/>
            <rFont val="Tahoma"/>
            <family val="2"/>
          </rPr>
          <t>Andrea Schmidt:</t>
        </r>
        <r>
          <rPr>
            <sz val="9"/>
            <color indexed="81"/>
            <rFont val="Tahoma"/>
            <family val="2"/>
          </rPr>
          <t xml:space="preserve">
monthly insurance of 1 truck mutiplied by months in a year
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Andrea Schmidt:</t>
        </r>
        <r>
          <rPr>
            <sz val="9"/>
            <color indexed="81"/>
            <rFont val="Tahoma"/>
            <family val="2"/>
          </rPr>
          <t xml:space="preserve">
gasoline and maintenance cost per mile 
</t>
        </r>
      </text>
    </comment>
    <comment ref="C6" authorId="0">
      <text>
        <r>
          <rPr>
            <b/>
            <sz val="9"/>
            <color indexed="81"/>
            <rFont val="Tahoma"/>
            <family val="2"/>
          </rPr>
          <t>Andrea Schmidt:</t>
        </r>
        <r>
          <rPr>
            <sz val="9"/>
            <color indexed="81"/>
            <rFont val="Tahoma"/>
            <family val="2"/>
          </rPr>
          <t xml:space="preserve">
cost to ship 1 container
</t>
        </r>
      </text>
    </comment>
    <comment ref="B7" authorId="0">
      <text>
        <r>
          <rPr>
            <b/>
            <sz val="9"/>
            <color indexed="81"/>
            <rFont val="Tahoma"/>
            <family val="2"/>
          </rPr>
          <t>Andrea Schmidt:</t>
        </r>
        <r>
          <rPr>
            <sz val="9"/>
            <color indexed="81"/>
            <rFont val="Tahoma"/>
            <family val="2"/>
          </rPr>
          <t xml:space="preserve">
cost to rent a truck per trip
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>Andrea Schmidt:</t>
        </r>
        <r>
          <rPr>
            <sz val="9"/>
            <color indexed="81"/>
            <rFont val="Tahoma"/>
            <family val="2"/>
          </rPr>
          <t xml:space="preserve">
cost to travel 1 mile
</t>
        </r>
      </text>
    </comment>
    <comment ref="I39" authorId="0">
      <text>
        <r>
          <rPr>
            <b/>
            <sz val="9"/>
            <color indexed="81"/>
            <rFont val="Tahoma"/>
            <family val="2"/>
          </rPr>
          <t>Andrea Schmidt:</t>
        </r>
        <r>
          <rPr>
            <sz val="9"/>
            <color indexed="81"/>
            <rFont val="Tahoma"/>
            <family val="2"/>
          </rPr>
          <t xml:space="preserve">
number of pods
</t>
        </r>
      </text>
    </comment>
  </commentList>
</comments>
</file>

<file path=xl/sharedStrings.xml><?xml version="1.0" encoding="utf-8"?>
<sst xmlns="http://schemas.openxmlformats.org/spreadsheetml/2006/main" count="74" uniqueCount="36">
  <si>
    <t>Transportation Type</t>
  </si>
  <si>
    <t>Paso Robles</t>
  </si>
  <si>
    <t>Atascadero</t>
  </si>
  <si>
    <t>Cambria</t>
  </si>
  <si>
    <t>Morro Bay</t>
  </si>
  <si>
    <t>Nipomo</t>
  </si>
  <si>
    <t>Arroyo Grande</t>
  </si>
  <si>
    <t>PODS</t>
  </si>
  <si>
    <t>Organization Owned Truck</t>
  </si>
  <si>
    <t>UPS</t>
  </si>
  <si>
    <t>U-Haul Truck</t>
  </si>
  <si>
    <t>Drop-Off Location</t>
  </si>
  <si>
    <t>San Luis Obispo</t>
  </si>
  <si>
    <t>Growth</t>
  </si>
  <si>
    <t>Local Populations per Year</t>
  </si>
  <si>
    <t>Amount of E-Waste per Year</t>
  </si>
  <si>
    <t>Ratio</t>
  </si>
  <si>
    <t>Total Fixed Cost</t>
  </si>
  <si>
    <t>Demand (per Year)</t>
  </si>
  <si>
    <t>Cal Poly Warehouse Capacity (per Year)</t>
  </si>
  <si>
    <t>Total</t>
  </si>
  <si>
    <t>Total Variable Coast</t>
  </si>
  <si>
    <t>Distance from CP</t>
  </si>
  <si>
    <t>Transportation Costs</t>
  </si>
  <si>
    <t>Variable Cost per year</t>
  </si>
  <si>
    <t>Fixed Cost per year</t>
  </si>
  <si>
    <t>Total Recycled for County</t>
  </si>
  <si>
    <t>Out of City</t>
  </si>
  <si>
    <t>TOTAL COUNTY POPULATION</t>
  </si>
  <si>
    <t>CITY sum</t>
  </si>
  <si>
    <t>containers shipped/mo</t>
  </si>
  <si>
    <t>U-Haul Rentals/mo</t>
  </si>
  <si>
    <t>TRUCK Miles/mo</t>
  </si>
  <si>
    <t>Annual cost to maintain a truck for collecting and transporting equipment</t>
  </si>
  <si>
    <t>Monthly Capacity</t>
  </si>
  <si>
    <t>per month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</si>
</sst>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1" fontId="0" fillId="0" borderId="0" xfId="0" applyNumberFormat="1"/>
    <xf numFmtId="10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2" fontId="0" fillId="0" borderId="6" xfId="0" applyNumberFormat="1" applyBorder="1"/>
    <xf numFmtId="0" fontId="1" fillId="0" borderId="7" xfId="0" applyFont="1" applyBorder="1"/>
    <xf numFmtId="0" fontId="1" fillId="3" borderId="10" xfId="0" applyFont="1" applyFill="1" applyBorder="1"/>
    <xf numFmtId="0" fontId="1" fillId="3" borderId="1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 wrapText="1"/>
    </xf>
    <xf numFmtId="4" fontId="1" fillId="3" borderId="10" xfId="0" applyNumberFormat="1" applyFont="1" applyFill="1" applyBorder="1"/>
    <xf numFmtId="4" fontId="1" fillId="3" borderId="11" xfId="0" applyNumberFormat="1" applyFont="1" applyFill="1" applyBorder="1"/>
    <xf numFmtId="4" fontId="0" fillId="3" borderId="10" xfId="0" applyNumberFormat="1" applyFill="1" applyBorder="1"/>
    <xf numFmtId="4" fontId="0" fillId="3" borderId="11" xfId="0" applyNumberFormat="1" applyFill="1" applyBorder="1"/>
    <xf numFmtId="44" fontId="0" fillId="0" borderId="0" xfId="1" applyFont="1" applyBorder="1"/>
    <xf numFmtId="0" fontId="1" fillId="0" borderId="0" xfId="0" applyFont="1" applyAlignment="1">
      <alignment horizontal="center"/>
    </xf>
    <xf numFmtId="9" fontId="0" fillId="0" borderId="0" xfId="2" applyFont="1"/>
    <xf numFmtId="44" fontId="0" fillId="0" borderId="8" xfId="1" applyFont="1" applyBorder="1"/>
    <xf numFmtId="44" fontId="1" fillId="2" borderId="9" xfId="1" applyFont="1" applyFill="1" applyBorder="1"/>
    <xf numFmtId="164" fontId="0" fillId="0" borderId="0" xfId="3" applyNumberFormat="1" applyFont="1"/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Population Growth For SLO County</a:t>
            </a:r>
          </a:p>
        </c:rich>
      </c:tx>
      <c:layout/>
    </c:title>
    <c:view3D>
      <c:perspective val="30"/>
    </c:view3D>
    <c:plotArea>
      <c:layout>
        <c:manualLayout>
          <c:layoutTarget val="inner"/>
          <c:xMode val="edge"/>
          <c:yMode val="edge"/>
          <c:x val="0.14694685039370087"/>
          <c:y val="0.22760602942261238"/>
          <c:w val="0.53347047244094492"/>
          <c:h val="0.60429595265622282"/>
        </c:manualLayout>
      </c:layout>
      <c:area3DChart>
        <c:grouping val="standard"/>
        <c:ser>
          <c:idx val="3"/>
          <c:order val="0"/>
          <c:tx>
            <c:strRef>
              <c:f>'2010'!$A$17</c:f>
              <c:strCache>
                <c:ptCount val="1"/>
                <c:pt idx="0">
                  <c:v>Cambria</c:v>
                </c:pt>
              </c:strCache>
            </c:strRef>
          </c:tx>
          <c:cat>
            <c:numRef>
              <c:f>'2010'!$B$14:$H$14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'2010'!$B$17:$H$17</c:f>
              <c:numCache>
                <c:formatCode>_(* #,##0_);_(* \(#,##0\);_(* "-"??_);_(@_)</c:formatCode>
                <c:ptCount val="7"/>
                <c:pt idx="0">
                  <c:v>6597</c:v>
                </c:pt>
                <c:pt idx="1">
                  <c:v>6629.9849999999997</c:v>
                </c:pt>
                <c:pt idx="2">
                  <c:v>6663.1349249999994</c:v>
                </c:pt>
                <c:pt idx="3">
                  <c:v>6696.4505996249991</c:v>
                </c:pt>
                <c:pt idx="4">
                  <c:v>6729.9328526231229</c:v>
                </c:pt>
                <c:pt idx="5">
                  <c:v>6763.5825168862375</c:v>
                </c:pt>
                <c:pt idx="6">
                  <c:v>6797.4004294706683</c:v>
                </c:pt>
              </c:numCache>
            </c:numRef>
          </c:val>
        </c:ser>
        <c:ser>
          <c:idx val="4"/>
          <c:order val="1"/>
          <c:tx>
            <c:strRef>
              <c:f>'2010'!$A$18</c:f>
              <c:strCache>
                <c:ptCount val="1"/>
                <c:pt idx="0">
                  <c:v>Morro Bay</c:v>
                </c:pt>
              </c:strCache>
            </c:strRef>
          </c:tx>
          <c:cat>
            <c:numRef>
              <c:f>'2010'!$B$14:$H$14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'2010'!$B$18:$H$18</c:f>
              <c:numCache>
                <c:formatCode>_(* #,##0_);_(* \(#,##0\);_(* "-"??_);_(@_)</c:formatCode>
                <c:ptCount val="7"/>
                <c:pt idx="0">
                  <c:v>10333</c:v>
                </c:pt>
                <c:pt idx="1">
                  <c:v>10329.900100000001</c:v>
                </c:pt>
                <c:pt idx="2">
                  <c:v>10326.801129970001</c:v>
                </c:pt>
                <c:pt idx="3">
                  <c:v>10323.70308963101</c:v>
                </c:pt>
                <c:pt idx="4">
                  <c:v>10320.605978704121</c:v>
                </c:pt>
                <c:pt idx="5">
                  <c:v>10317.50979691051</c:v>
                </c:pt>
                <c:pt idx="6">
                  <c:v>10314.414543971438</c:v>
                </c:pt>
              </c:numCache>
            </c:numRef>
          </c:val>
        </c:ser>
        <c:ser>
          <c:idx val="5"/>
          <c:order val="2"/>
          <c:tx>
            <c:strRef>
              <c:f>'2010'!$A$19</c:f>
              <c:strCache>
                <c:ptCount val="1"/>
                <c:pt idx="0">
                  <c:v>Nipomo</c:v>
                </c:pt>
              </c:strCache>
            </c:strRef>
          </c:tx>
          <c:cat>
            <c:numRef>
              <c:f>'2010'!$B$14:$H$14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'2010'!$B$19:$H$19</c:f>
              <c:numCache>
                <c:formatCode>_(* #,##0_);_(* \(#,##0\);_(* "-"??_);_(@_)</c:formatCode>
                <c:ptCount val="7"/>
                <c:pt idx="0">
                  <c:v>13367</c:v>
                </c:pt>
                <c:pt idx="1">
                  <c:v>13380.366999999998</c:v>
                </c:pt>
                <c:pt idx="2">
                  <c:v>13393.747366999996</c:v>
                </c:pt>
                <c:pt idx="3">
                  <c:v>13407.141114366996</c:v>
                </c:pt>
                <c:pt idx="4">
                  <c:v>13420.548255481361</c:v>
                </c:pt>
                <c:pt idx="5">
                  <c:v>13433.968803736841</c:v>
                </c:pt>
                <c:pt idx="6">
                  <c:v>13447.402772540578</c:v>
                </c:pt>
              </c:numCache>
            </c:numRef>
          </c:val>
        </c:ser>
        <c:ser>
          <c:idx val="6"/>
          <c:order val="3"/>
          <c:tx>
            <c:strRef>
              <c:f>'2010'!$A$20</c:f>
              <c:strCache>
                <c:ptCount val="1"/>
                <c:pt idx="0">
                  <c:v>Arroyo Grande</c:v>
                </c:pt>
              </c:strCache>
            </c:strRef>
          </c:tx>
          <c:cat>
            <c:numRef>
              <c:f>'2010'!$B$14:$H$14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'2010'!$B$20:$H$20</c:f>
              <c:numCache>
                <c:formatCode>_(* #,##0_);_(* \(#,##0\);_(* "-"??_);_(@_)</c:formatCode>
                <c:ptCount val="7"/>
                <c:pt idx="0">
                  <c:v>17180</c:v>
                </c:pt>
                <c:pt idx="1">
                  <c:v>17360.39</c:v>
                </c:pt>
                <c:pt idx="2">
                  <c:v>17542.674094999998</c:v>
                </c:pt>
                <c:pt idx="3">
                  <c:v>17726.872172997497</c:v>
                </c:pt>
                <c:pt idx="4">
                  <c:v>17913.004330813968</c:v>
                </c:pt>
                <c:pt idx="5">
                  <c:v>18101.090876287515</c:v>
                </c:pt>
                <c:pt idx="6">
                  <c:v>18291.152330488534</c:v>
                </c:pt>
              </c:numCache>
            </c:numRef>
          </c:val>
        </c:ser>
        <c:ser>
          <c:idx val="1"/>
          <c:order val="4"/>
          <c:tx>
            <c:strRef>
              <c:f>'2010'!$A$15</c:f>
              <c:strCache>
                <c:ptCount val="1"/>
                <c:pt idx="0">
                  <c:v>Paso Robles</c:v>
                </c:pt>
              </c:strCache>
            </c:strRef>
          </c:tx>
          <c:cat>
            <c:numRef>
              <c:f>'2010'!$B$14:$H$14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'2010'!$B$15:$H$15</c:f>
              <c:numCache>
                <c:formatCode>_(* #,##0_);_(* \(#,##0\);_(* "-"??_);_(@_)</c:formatCode>
                <c:ptCount val="7"/>
                <c:pt idx="0">
                  <c:v>28715</c:v>
                </c:pt>
                <c:pt idx="1">
                  <c:v>29368.266250000001</c:v>
                </c:pt>
                <c:pt idx="2">
                  <c:v>30036.394307187504</c:v>
                </c:pt>
                <c:pt idx="3">
                  <c:v>30719.722277676021</c:v>
                </c:pt>
                <c:pt idx="4">
                  <c:v>31418.595959493152</c:v>
                </c:pt>
                <c:pt idx="5">
                  <c:v>32133.369017571622</c:v>
                </c:pt>
                <c:pt idx="6">
                  <c:v>32864.403162721377</c:v>
                </c:pt>
              </c:numCache>
            </c:numRef>
          </c:val>
        </c:ser>
        <c:ser>
          <c:idx val="2"/>
          <c:order val="5"/>
          <c:tx>
            <c:strRef>
              <c:f>'2010'!$A$16</c:f>
              <c:strCache>
                <c:ptCount val="1"/>
                <c:pt idx="0">
                  <c:v>Atascadero</c:v>
                </c:pt>
              </c:strCache>
            </c:strRef>
          </c:tx>
          <c:cat>
            <c:numRef>
              <c:f>'2010'!$B$14:$H$14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'2010'!$B$16:$H$16</c:f>
              <c:numCache>
                <c:formatCode>_(* #,##0_);_(* \(#,##0\);_(* "-"??_);_(@_)</c:formatCode>
                <c:ptCount val="7"/>
                <c:pt idx="0">
                  <c:v>28452</c:v>
                </c:pt>
                <c:pt idx="1">
                  <c:v>28725.139200000001</c:v>
                </c:pt>
                <c:pt idx="2">
                  <c:v>29874.144768000002</c:v>
                </c:pt>
                <c:pt idx="3">
                  <c:v>31069.110558720004</c:v>
                </c:pt>
                <c:pt idx="4">
                  <c:v>32311.874981068806</c:v>
                </c:pt>
                <c:pt idx="5">
                  <c:v>33604.349980311563</c:v>
                </c:pt>
                <c:pt idx="6">
                  <c:v>34948.523979524027</c:v>
                </c:pt>
              </c:numCache>
            </c:numRef>
          </c:val>
        </c:ser>
        <c:ser>
          <c:idx val="7"/>
          <c:order val="6"/>
          <c:tx>
            <c:strRef>
              <c:f>'2010'!$A$21</c:f>
              <c:strCache>
                <c:ptCount val="1"/>
                <c:pt idx="0">
                  <c:v>San Luis Obispo</c:v>
                </c:pt>
              </c:strCache>
            </c:strRef>
          </c:tx>
          <c:cat>
            <c:numRef>
              <c:f>'2010'!$B$14:$H$14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'2010'!$B$21:$H$21</c:f>
              <c:numCache>
                <c:formatCode>_(* #,##0_);_(* \(#,##0\);_(* "-"??_);_(@_)</c:formatCode>
                <c:ptCount val="7"/>
                <c:pt idx="0">
                  <c:v>43636</c:v>
                </c:pt>
                <c:pt idx="1">
                  <c:v>43570.546000000002</c:v>
                </c:pt>
                <c:pt idx="2">
                  <c:v>43505.190181000005</c:v>
                </c:pt>
                <c:pt idx="3">
                  <c:v>43439.932395728509</c:v>
                </c:pt>
                <c:pt idx="4">
                  <c:v>43374.772497134916</c:v>
                </c:pt>
                <c:pt idx="5">
                  <c:v>43309.710338389217</c:v>
                </c:pt>
                <c:pt idx="6">
                  <c:v>43244.745772881637</c:v>
                </c:pt>
              </c:numCache>
            </c:numRef>
          </c:val>
        </c:ser>
        <c:ser>
          <c:idx val="9"/>
          <c:order val="7"/>
          <c:tx>
            <c:strRef>
              <c:f>'2010'!$A$23</c:f>
              <c:strCache>
                <c:ptCount val="1"/>
                <c:pt idx="0">
                  <c:v>Out of City</c:v>
                </c:pt>
              </c:strCache>
            </c:strRef>
          </c:tx>
          <c:cat>
            <c:numRef>
              <c:f>'2010'!$B$14:$H$14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'2010'!$B$23:$H$23</c:f>
              <c:numCache>
                <c:formatCode>_(* #,##0_);_(* \(#,##0\);_(* "-"??_);_(@_)</c:formatCode>
                <c:ptCount val="7"/>
                <c:pt idx="0">
                  <c:v>121064</c:v>
                </c:pt>
                <c:pt idx="1">
                  <c:v>121064</c:v>
                </c:pt>
                <c:pt idx="2">
                  <c:v>121754.06480000001</c:v>
                </c:pt>
                <c:pt idx="3">
                  <c:v>122448.06296936001</c:v>
                </c:pt>
                <c:pt idx="4">
                  <c:v>123146.01692828536</c:v>
                </c:pt>
                <c:pt idx="5">
                  <c:v>123847.94922477659</c:v>
                </c:pt>
                <c:pt idx="6">
                  <c:v>124553.88253535781</c:v>
                </c:pt>
              </c:numCache>
            </c:numRef>
          </c:val>
        </c:ser>
        <c:axId val="86336256"/>
        <c:axId val="86337792"/>
        <c:axId val="86327744"/>
      </c:area3DChart>
      <c:catAx>
        <c:axId val="86336256"/>
        <c:scaling>
          <c:orientation val="minMax"/>
        </c:scaling>
        <c:axPos val="b"/>
        <c:numFmt formatCode="General" sourceLinked="1"/>
        <c:majorTickMark val="none"/>
        <c:tickLblPos val="nextTo"/>
        <c:crossAx val="86337792"/>
        <c:crosses val="autoZero"/>
        <c:auto val="1"/>
        <c:lblAlgn val="ctr"/>
        <c:lblOffset val="100"/>
      </c:catAx>
      <c:valAx>
        <c:axId val="863377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Population</a:t>
                </a:r>
              </a:p>
            </c:rich>
          </c:tx>
          <c:layout/>
        </c:title>
        <c:numFmt formatCode="_(* #,##0_);_(* \(#,##0\);_(* &quot;-&quot;??_);_(@_)" sourceLinked="1"/>
        <c:majorTickMark val="none"/>
        <c:tickLblPos val="nextTo"/>
        <c:crossAx val="86336256"/>
        <c:crosses val="autoZero"/>
        <c:crossBetween val="midCat"/>
      </c:valAx>
      <c:serAx>
        <c:axId val="86327744"/>
        <c:scaling>
          <c:orientation val="minMax"/>
        </c:scaling>
        <c:delete val="1"/>
        <c:axPos val="b"/>
        <c:tickLblPos val="none"/>
        <c:crossAx val="86337792"/>
        <c:crosses val="autoZero"/>
      </c:ser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'2010'!$A$24</c:f>
              <c:strCache>
                <c:ptCount val="1"/>
                <c:pt idx="0">
                  <c:v>TOTAL COUNTY POPULATION</c:v>
                </c:pt>
              </c:strCache>
            </c:strRef>
          </c:tx>
          <c:marker>
            <c:symbol val="none"/>
          </c:marker>
          <c:cat>
            <c:numRef>
              <c:f>'2010'!$B$14:$H$14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'2010'!$B$24:$H$24</c:f>
              <c:numCache>
                <c:formatCode>_(* #,##0_);_(* \(#,##0\);_(* "-"??_);_(@_)</c:formatCode>
                <c:ptCount val="7"/>
                <c:pt idx="0">
                  <c:v>269344</c:v>
                </c:pt>
                <c:pt idx="1">
                  <c:v>270428.59354999999</c:v>
                </c:pt>
                <c:pt idx="2">
                  <c:v>273096.15157315752</c:v>
                </c:pt>
                <c:pt idx="3">
                  <c:v>275830.99517810508</c:v>
                </c:pt>
                <c:pt idx="4">
                  <c:v>278635.35178360483</c:v>
                </c:pt>
                <c:pt idx="5">
                  <c:v>281511.53055487014</c:v>
                </c:pt>
                <c:pt idx="6">
                  <c:v>284461.9255269561</c:v>
                </c:pt>
              </c:numCache>
            </c:numRef>
          </c:val>
        </c:ser>
        <c:marker val="1"/>
        <c:axId val="86507520"/>
        <c:axId val="86509056"/>
      </c:lineChart>
      <c:catAx>
        <c:axId val="86507520"/>
        <c:scaling>
          <c:orientation val="minMax"/>
        </c:scaling>
        <c:axPos val="b"/>
        <c:numFmt formatCode="General" sourceLinked="1"/>
        <c:tickLblPos val="nextTo"/>
        <c:crossAx val="86509056"/>
        <c:crosses val="autoZero"/>
        <c:auto val="1"/>
        <c:lblAlgn val="ctr"/>
        <c:lblOffset val="100"/>
      </c:catAx>
      <c:valAx>
        <c:axId val="86509056"/>
        <c:scaling>
          <c:orientation val="minMax"/>
        </c:scaling>
        <c:axPos val="l"/>
        <c:majorGridlines/>
        <c:numFmt formatCode="_(* #,##0_);_(* \(#,##0\);_(* &quot;-&quot;??_);_(@_)" sourceLinked="1"/>
        <c:tickLblPos val="nextTo"/>
        <c:crossAx val="86507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</a:t>
            </a:r>
            <a:r>
              <a:rPr lang="en-US" baseline="0"/>
              <a:t> Transportation Capacity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'2010'!$J$26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'2010'!$I$27:$I$33</c:f>
              <c:strCache>
                <c:ptCount val="7"/>
                <c:pt idx="0">
                  <c:v>Paso Robles</c:v>
                </c:pt>
                <c:pt idx="1">
                  <c:v>Atascadero</c:v>
                </c:pt>
                <c:pt idx="2">
                  <c:v>Cambria</c:v>
                </c:pt>
                <c:pt idx="3">
                  <c:v>Morro Bay</c:v>
                </c:pt>
                <c:pt idx="4">
                  <c:v>Nipomo</c:v>
                </c:pt>
                <c:pt idx="5">
                  <c:v>Arroyo Grande</c:v>
                </c:pt>
                <c:pt idx="6">
                  <c:v>San Luis Obispo</c:v>
                </c:pt>
              </c:strCache>
            </c:strRef>
          </c:cat>
          <c:val>
            <c:numRef>
              <c:f>'2010'!$J$27:$J$33</c:f>
              <c:numCache>
                <c:formatCode>0</c:formatCode>
                <c:ptCount val="7"/>
                <c:pt idx="0">
                  <c:v>39.524860113132441</c:v>
                </c:pt>
                <c:pt idx="1">
                  <c:v>39.389652163809529</c:v>
                </c:pt>
                <c:pt idx="2">
                  <c:v>20.047143961309526</c:v>
                </c:pt>
                <c:pt idx="3">
                  <c:v>23.100199132117861</c:v>
                </c:pt>
                <c:pt idx="4">
                  <c:v>25.655987662976191</c:v>
                </c:pt>
                <c:pt idx="5">
                  <c:v>29.11342660297619</c:v>
                </c:pt>
                <c:pt idx="6">
                  <c:v>50.748856674642866</c:v>
                </c:pt>
              </c:numCache>
            </c:numRef>
          </c:val>
        </c:ser>
        <c:axId val="86525056"/>
        <c:axId val="86526592"/>
      </c:barChart>
      <c:catAx>
        <c:axId val="86525056"/>
        <c:scaling>
          <c:orientation val="minMax"/>
        </c:scaling>
        <c:axPos val="b"/>
        <c:numFmt formatCode="General" sourceLinked="1"/>
        <c:majorTickMark val="none"/>
        <c:tickLblPos val="nextTo"/>
        <c:crossAx val="86526592"/>
        <c:crosses val="autoZero"/>
        <c:auto val="1"/>
        <c:lblAlgn val="ctr"/>
        <c:lblOffset val="100"/>
      </c:catAx>
      <c:valAx>
        <c:axId val="86526592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865250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Capacity Requirements for Each Collection</a:t>
            </a:r>
            <a:r>
              <a:rPr lang="en-US" baseline="0"/>
              <a:t> Location</a:t>
            </a:r>
            <a:endParaRPr lang="en-US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'2010'!$I$31</c:f>
              <c:strCache>
                <c:ptCount val="1"/>
                <c:pt idx="0">
                  <c:v>Nipomo</c:v>
                </c:pt>
              </c:strCache>
            </c:strRef>
          </c:tx>
          <c:cat>
            <c:numRef>
              <c:f>'2010'!$J$26:$N$26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'2010'!$J$31:$N$31</c:f>
              <c:numCache>
                <c:formatCode>0</c:formatCode>
                <c:ptCount val="5"/>
                <c:pt idx="0">
                  <c:v>25.655987662976191</c:v>
                </c:pt>
                <c:pt idx="1">
                  <c:v>25.749767948801068</c:v>
                </c:pt>
                <c:pt idx="2">
                  <c:v>25.8440303234113</c:v>
                </c:pt>
                <c:pt idx="3">
                  <c:v>25.938777482254107</c:v>
                </c:pt>
                <c:pt idx="4">
                  <c:v>26.034012136088318</c:v>
                </c:pt>
              </c:numCache>
            </c:numRef>
          </c:val>
        </c:ser>
        <c:ser>
          <c:idx val="1"/>
          <c:order val="1"/>
          <c:tx>
            <c:strRef>
              <c:f>'2010'!$I$30</c:f>
              <c:strCache>
                <c:ptCount val="1"/>
                <c:pt idx="0">
                  <c:v>Morro Bay</c:v>
                </c:pt>
              </c:strCache>
            </c:strRef>
          </c:tx>
          <c:cat>
            <c:numRef>
              <c:f>'2010'!$J$26:$N$26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'2010'!$J$30:$N$30</c:f>
              <c:numCache>
                <c:formatCode>0</c:formatCode>
                <c:ptCount val="5"/>
                <c:pt idx="0">
                  <c:v>23.100199132117861</c:v>
                </c:pt>
                <c:pt idx="1">
                  <c:v>23.180236261521078</c:v>
                </c:pt>
                <c:pt idx="2">
                  <c:v>23.260745092763596</c:v>
                </c:pt>
                <c:pt idx="3">
                  <c:v>23.341728309898826</c:v>
                </c:pt>
                <c:pt idx="4">
                  <c:v>23.4231886122807</c:v>
                </c:pt>
              </c:numCache>
            </c:numRef>
          </c:val>
        </c:ser>
        <c:ser>
          <c:idx val="2"/>
          <c:order val="2"/>
          <c:tx>
            <c:strRef>
              <c:f>'2010'!$I$29</c:f>
              <c:strCache>
                <c:ptCount val="1"/>
                <c:pt idx="0">
                  <c:v>Cambria</c:v>
                </c:pt>
              </c:strCache>
            </c:strRef>
          </c:tx>
          <c:cat>
            <c:numRef>
              <c:f>'2010'!$J$26:$N$26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'2010'!$J$29:$N$29</c:f>
              <c:numCache>
                <c:formatCode>0</c:formatCode>
                <c:ptCount val="5"/>
                <c:pt idx="0">
                  <c:v>20.047143961309526</c:v>
                </c:pt>
                <c:pt idx="1">
                  <c:v>20.157525853182737</c:v>
                </c:pt>
                <c:pt idx="2">
                  <c:v>20.268517487696098</c:v>
                </c:pt>
                <c:pt idx="3">
                  <c:v>20.380122243211932</c:v>
                </c:pt>
                <c:pt idx="4">
                  <c:v>20.492343516863397</c:v>
                </c:pt>
              </c:numCache>
            </c:numRef>
          </c:val>
        </c:ser>
        <c:ser>
          <c:idx val="3"/>
          <c:order val="3"/>
          <c:tx>
            <c:strRef>
              <c:f>'2010'!$I$28</c:f>
              <c:strCache>
                <c:ptCount val="1"/>
                <c:pt idx="0">
                  <c:v>Atascadero</c:v>
                </c:pt>
              </c:strCache>
            </c:strRef>
          </c:tx>
          <c:cat>
            <c:numRef>
              <c:f>'2010'!$J$26:$N$26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'2010'!$J$28:$N$28</c:f>
              <c:numCache>
                <c:formatCode>0</c:formatCode>
                <c:ptCount val="5"/>
                <c:pt idx="0">
                  <c:v>39.389652163809529</c:v>
                </c:pt>
                <c:pt idx="1">
                  <c:v>40.468075819095247</c:v>
                </c:pt>
                <c:pt idx="2">
                  <c:v>41.586802594734166</c:v>
                </c:pt>
                <c:pt idx="3">
                  <c:v>42.747428462733041</c:v>
                </c:pt>
                <c:pt idx="4">
                  <c:v>43.951613141907863</c:v>
                </c:pt>
              </c:numCache>
            </c:numRef>
          </c:val>
        </c:ser>
        <c:ser>
          <c:idx val="4"/>
          <c:order val="4"/>
          <c:tx>
            <c:strRef>
              <c:f>'2010'!$I$27</c:f>
              <c:strCache>
                <c:ptCount val="1"/>
                <c:pt idx="0">
                  <c:v>Paso Robles</c:v>
                </c:pt>
              </c:strCache>
            </c:strRef>
          </c:tx>
          <c:cat>
            <c:numRef>
              <c:f>'2010'!$J$26:$N$26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'2010'!$J$27:$N$27</c:f>
              <c:numCache>
                <c:formatCode>0</c:formatCode>
                <c:ptCount val="5"/>
                <c:pt idx="0">
                  <c:v>39.524860113132441</c:v>
                </c:pt>
                <c:pt idx="1">
                  <c:v>40.176918918225255</c:v>
                </c:pt>
                <c:pt idx="2">
                  <c:v>40.84240341008779</c:v>
                </c:pt>
                <c:pt idx="3">
                  <c:v>41.521610993783092</c:v>
                </c:pt>
                <c:pt idx="4">
                  <c:v>42.214845794572319</c:v>
                </c:pt>
              </c:numCache>
            </c:numRef>
          </c:val>
        </c:ser>
        <c:ser>
          <c:idx val="5"/>
          <c:order val="5"/>
          <c:tx>
            <c:strRef>
              <c:f>'2010'!$I$32</c:f>
              <c:strCache>
                <c:ptCount val="1"/>
                <c:pt idx="0">
                  <c:v>Arroyo Grande</c:v>
                </c:pt>
              </c:strCache>
            </c:strRef>
          </c:tx>
          <c:cat>
            <c:numRef>
              <c:f>'2010'!$J$26:$N$26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'2010'!$J$32:$N$32</c:f>
              <c:numCache>
                <c:formatCode>0</c:formatCode>
                <c:ptCount val="5"/>
                <c:pt idx="0">
                  <c:v>29.11342660297619</c:v>
                </c:pt>
                <c:pt idx="1">
                  <c:v>29.349543830993156</c:v>
                </c:pt>
                <c:pt idx="2">
                  <c:v>29.5877437195218</c:v>
                </c:pt>
                <c:pt idx="3">
                  <c:v>29.828045876046332</c:v>
                </c:pt>
                <c:pt idx="4">
                  <c:v>30.070470101044947</c:v>
                </c:pt>
              </c:numCache>
            </c:numRef>
          </c:val>
        </c:ser>
        <c:dLbls/>
        <c:shape val="box"/>
        <c:axId val="109512192"/>
        <c:axId val="77299712"/>
        <c:axId val="0"/>
      </c:bar3DChart>
      <c:catAx>
        <c:axId val="109512192"/>
        <c:scaling>
          <c:orientation val="minMax"/>
        </c:scaling>
        <c:axPos val="b"/>
        <c:numFmt formatCode="General" sourceLinked="1"/>
        <c:majorTickMark val="none"/>
        <c:tickLblPos val="nextTo"/>
        <c:crossAx val="77299712"/>
        <c:crosses val="autoZero"/>
        <c:auto val="1"/>
        <c:lblAlgn val="ctr"/>
        <c:lblOffset val="100"/>
      </c:catAx>
      <c:valAx>
        <c:axId val="77299712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1095121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511969</xdr:colOff>
      <xdr:row>8</xdr:row>
      <xdr:rowOff>333375</xdr:rowOff>
    </xdr:from>
    <xdr:to>
      <xdr:col>13</xdr:col>
      <xdr:colOff>976313</xdr:colOff>
      <xdr:row>23</xdr:row>
      <xdr:rowOff>23813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130968</xdr:colOff>
      <xdr:row>38</xdr:row>
      <xdr:rowOff>166689</xdr:rowOff>
    </xdr:from>
    <xdr:to>
      <xdr:col>15</xdr:col>
      <xdr:colOff>547687</xdr:colOff>
      <xdr:row>53</xdr:row>
      <xdr:rowOff>47627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214313</xdr:colOff>
      <xdr:row>23</xdr:row>
      <xdr:rowOff>154782</xdr:rowOff>
    </xdr:from>
    <xdr:to>
      <xdr:col>21</xdr:col>
      <xdr:colOff>535782</xdr:colOff>
      <xdr:row>37</xdr:row>
      <xdr:rowOff>226220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273844</xdr:colOff>
      <xdr:row>8</xdr:row>
      <xdr:rowOff>214312</xdr:rowOff>
    </xdr:from>
    <xdr:to>
      <xdr:col>21</xdr:col>
      <xdr:colOff>595313</xdr:colOff>
      <xdr:row>22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1"/>
  <sheetViews>
    <sheetView tabSelected="1" zoomScale="80" zoomScaleNormal="80" workbookViewId="0">
      <selection activeCell="I25" sqref="I25:N33"/>
    </sheetView>
  </sheetViews>
  <sheetFormatPr defaultRowHeight="15"/>
  <cols>
    <col min="1" max="1" width="38" customWidth="1"/>
    <col min="2" max="2" width="18.5703125" bestFit="1" customWidth="1"/>
    <col min="3" max="3" width="21.140625" bestFit="1" customWidth="1"/>
    <col min="4" max="4" width="12.28515625" bestFit="1" customWidth="1"/>
    <col min="5" max="5" width="17.85546875" bestFit="1" customWidth="1"/>
    <col min="6" max="8" width="12.28515625" bestFit="1" customWidth="1"/>
    <col min="9" max="9" width="16.5703125" customWidth="1"/>
    <col min="10" max="10" width="16.28515625" bestFit="1" customWidth="1"/>
    <col min="11" max="11" width="9.85546875" bestFit="1" customWidth="1"/>
    <col min="12" max="12" width="16.5703125" bestFit="1" customWidth="1"/>
    <col min="13" max="13" width="18.85546875" bestFit="1" customWidth="1"/>
    <col min="14" max="14" width="17.7109375" bestFit="1" customWidth="1"/>
  </cols>
  <sheetData>
    <row r="1" spans="1:12">
      <c r="A1" s="1" t="s">
        <v>23</v>
      </c>
    </row>
    <row r="2" spans="1:12">
      <c r="E2" s="17"/>
      <c r="F2" s="18"/>
      <c r="G2" s="18"/>
      <c r="H2" s="18"/>
    </row>
    <row r="3" spans="1:12">
      <c r="A3" s="2" t="s">
        <v>0</v>
      </c>
      <c r="B3" s="7" t="s">
        <v>25</v>
      </c>
      <c r="C3" s="7" t="s">
        <v>24</v>
      </c>
      <c r="E3" s="15"/>
      <c r="F3" s="19"/>
      <c r="G3" s="21"/>
      <c r="H3" s="21"/>
      <c r="I3" s="2"/>
    </row>
    <row r="4" spans="1:12">
      <c r="A4" t="s">
        <v>7</v>
      </c>
      <c r="B4">
        <f>221.99*12</f>
        <v>2663.88</v>
      </c>
      <c r="C4">
        <v>0</v>
      </c>
      <c r="E4" s="15"/>
      <c r="F4" s="19"/>
      <c r="G4" s="21"/>
      <c r="H4" s="21"/>
    </row>
    <row r="5" spans="1:12">
      <c r="A5" t="s">
        <v>8</v>
      </c>
      <c r="B5">
        <f>90*12</f>
        <v>1080</v>
      </c>
      <c r="C5">
        <f>0.15</f>
        <v>0.15</v>
      </c>
      <c r="E5" s="15"/>
      <c r="F5" s="19"/>
      <c r="G5" s="21"/>
      <c r="H5" s="21"/>
    </row>
    <row r="6" spans="1:12">
      <c r="A6" t="s">
        <v>9</v>
      </c>
      <c r="B6">
        <v>0</v>
      </c>
      <c r="C6">
        <v>100</v>
      </c>
      <c r="E6" s="15"/>
      <c r="F6" s="19"/>
      <c r="G6" s="21"/>
      <c r="H6" s="21"/>
    </row>
    <row r="7" spans="1:12">
      <c r="A7" t="s">
        <v>10</v>
      </c>
      <c r="B7">
        <f>20</f>
        <v>20</v>
      </c>
      <c r="C7">
        <f>0.99</f>
        <v>0.99</v>
      </c>
      <c r="E7" s="16"/>
      <c r="F7" s="20"/>
      <c r="G7" s="22"/>
      <c r="H7" s="22"/>
    </row>
    <row r="9" spans="1:12" ht="30">
      <c r="B9" s="6" t="s">
        <v>1</v>
      </c>
      <c r="C9" s="6" t="s">
        <v>2</v>
      </c>
      <c r="D9" s="6" t="s">
        <v>3</v>
      </c>
      <c r="E9" s="6" t="s">
        <v>4</v>
      </c>
      <c r="F9" s="6" t="s">
        <v>5</v>
      </c>
      <c r="G9" s="3" t="s">
        <v>6</v>
      </c>
      <c r="L9" s="3"/>
    </row>
    <row r="10" spans="1:12">
      <c r="A10" t="s">
        <v>22</v>
      </c>
      <c r="B10">
        <v>35</v>
      </c>
      <c r="C10">
        <v>22</v>
      </c>
      <c r="D10">
        <v>41</v>
      </c>
      <c r="E10">
        <v>14</v>
      </c>
      <c r="F10">
        <v>26</v>
      </c>
      <c r="G10">
        <v>16</v>
      </c>
    </row>
    <row r="13" spans="1:12">
      <c r="B13" s="31" t="s">
        <v>14</v>
      </c>
      <c r="C13" s="31"/>
      <c r="D13" s="31"/>
      <c r="E13" s="31"/>
      <c r="F13" s="31"/>
    </row>
    <row r="14" spans="1:12">
      <c r="A14" s="2" t="s">
        <v>11</v>
      </c>
      <c r="B14" s="2">
        <v>2008</v>
      </c>
      <c r="C14" s="2">
        <v>2009</v>
      </c>
      <c r="D14" s="2">
        <v>2010</v>
      </c>
      <c r="E14" s="2">
        <v>2011</v>
      </c>
      <c r="F14" s="2">
        <v>2012</v>
      </c>
      <c r="G14" s="2">
        <v>2013</v>
      </c>
      <c r="H14" s="2">
        <v>2014</v>
      </c>
      <c r="I14" s="1" t="s">
        <v>13</v>
      </c>
    </row>
    <row r="15" spans="1:12">
      <c r="A15" t="s">
        <v>1</v>
      </c>
      <c r="B15" s="28">
        <v>28715</v>
      </c>
      <c r="C15" s="28">
        <f>B15*(1.02275)</f>
        <v>29368.266250000001</v>
      </c>
      <c r="D15" s="28">
        <f>C15*(1.02275)</f>
        <v>30036.394307187504</v>
      </c>
      <c r="E15" s="28">
        <f t="shared" ref="E15:H15" si="0">D15*(1.02275)</f>
        <v>30719.722277676021</v>
      </c>
      <c r="F15" s="28">
        <f t="shared" si="0"/>
        <v>31418.595959493152</v>
      </c>
      <c r="G15" s="28">
        <f t="shared" si="0"/>
        <v>32133.369017571622</v>
      </c>
      <c r="H15" s="28">
        <f t="shared" si="0"/>
        <v>32864.403162721377</v>
      </c>
      <c r="I15" s="5">
        <v>2.2749999999999999E-2</v>
      </c>
      <c r="L15" s="4"/>
    </row>
    <row r="16" spans="1:12">
      <c r="A16" t="s">
        <v>2</v>
      </c>
      <c r="B16" s="28">
        <v>28452</v>
      </c>
      <c r="C16" s="28">
        <f>B16*1.0096</f>
        <v>28725.139200000001</v>
      </c>
      <c r="D16" s="28">
        <f t="shared" ref="D16:H16" si="1">C16*1.04</f>
        <v>29874.144768000002</v>
      </c>
      <c r="E16" s="28">
        <f t="shared" si="1"/>
        <v>31069.110558720004</v>
      </c>
      <c r="F16" s="28">
        <f t="shared" si="1"/>
        <v>32311.874981068806</v>
      </c>
      <c r="G16" s="28">
        <f t="shared" si="1"/>
        <v>33604.349980311563</v>
      </c>
      <c r="H16" s="28">
        <f t="shared" si="1"/>
        <v>34948.523979524027</v>
      </c>
      <c r="I16" s="5">
        <v>9.5999999999999992E-3</v>
      </c>
      <c r="L16" s="4"/>
    </row>
    <row r="17" spans="1:15">
      <c r="A17" t="s">
        <v>3</v>
      </c>
      <c r="B17" s="28">
        <v>6597</v>
      </c>
      <c r="C17" s="28">
        <f>B17*1.005</f>
        <v>6629.9849999999997</v>
      </c>
      <c r="D17" s="28">
        <f t="shared" ref="D17:H17" si="2">C17*1.005</f>
        <v>6663.1349249999994</v>
      </c>
      <c r="E17" s="28">
        <f t="shared" si="2"/>
        <v>6696.4505996249991</v>
      </c>
      <c r="F17" s="28">
        <f t="shared" si="2"/>
        <v>6729.9328526231229</v>
      </c>
      <c r="G17" s="28">
        <f t="shared" si="2"/>
        <v>6763.5825168862375</v>
      </c>
      <c r="H17" s="28">
        <f t="shared" si="2"/>
        <v>6797.4004294706683</v>
      </c>
      <c r="I17" s="5">
        <v>5.0000000000000001E-3</v>
      </c>
    </row>
    <row r="18" spans="1:15">
      <c r="A18" t="s">
        <v>4</v>
      </c>
      <c r="B18" s="28">
        <v>10333</v>
      </c>
      <c r="C18" s="28">
        <f>B18*(1-0.0003)</f>
        <v>10329.900100000001</v>
      </c>
      <c r="D18" s="28">
        <f t="shared" ref="D18:H18" si="3">C18*(1-0.0003)</f>
        <v>10326.801129970001</v>
      </c>
      <c r="E18" s="28">
        <f t="shared" si="3"/>
        <v>10323.70308963101</v>
      </c>
      <c r="F18" s="28">
        <f t="shared" si="3"/>
        <v>10320.605978704121</v>
      </c>
      <c r="G18" s="28">
        <f t="shared" si="3"/>
        <v>10317.50979691051</v>
      </c>
      <c r="H18" s="28">
        <f t="shared" si="3"/>
        <v>10314.414543971438</v>
      </c>
      <c r="I18" s="5">
        <v>-2.5000000000000001E-4</v>
      </c>
    </row>
    <row r="19" spans="1:15">
      <c r="A19" t="s">
        <v>5</v>
      </c>
      <c r="B19" s="28">
        <v>13367</v>
      </c>
      <c r="C19" s="28">
        <f>B19*1.001</f>
        <v>13380.366999999998</v>
      </c>
      <c r="D19" s="28">
        <f t="shared" ref="D19:H19" si="4">C19*1.001</f>
        <v>13393.747366999996</v>
      </c>
      <c r="E19" s="28">
        <f t="shared" si="4"/>
        <v>13407.141114366996</v>
      </c>
      <c r="F19" s="28">
        <f t="shared" si="4"/>
        <v>13420.548255481361</v>
      </c>
      <c r="G19" s="28">
        <f t="shared" si="4"/>
        <v>13433.968803736841</v>
      </c>
      <c r="H19" s="28">
        <f t="shared" si="4"/>
        <v>13447.402772540578</v>
      </c>
      <c r="I19" s="5">
        <v>1E-3</v>
      </c>
    </row>
    <row r="20" spans="1:15">
      <c r="A20" t="s">
        <v>6</v>
      </c>
      <c r="B20" s="28">
        <v>17180</v>
      </c>
      <c r="C20" s="28">
        <f>B20*1.0105</f>
        <v>17360.39</v>
      </c>
      <c r="D20" s="28">
        <f t="shared" ref="D20:H20" si="5">C20*1.0105</f>
        <v>17542.674094999998</v>
      </c>
      <c r="E20" s="28">
        <f t="shared" si="5"/>
        <v>17726.872172997497</v>
      </c>
      <c r="F20" s="28">
        <f t="shared" si="5"/>
        <v>17913.004330813968</v>
      </c>
      <c r="G20" s="28">
        <f t="shared" si="5"/>
        <v>18101.090876287515</v>
      </c>
      <c r="H20" s="28">
        <f t="shared" si="5"/>
        <v>18291.152330488534</v>
      </c>
      <c r="I20" s="5">
        <v>1.0500000000000001E-2</v>
      </c>
    </row>
    <row r="21" spans="1:15">
      <c r="A21" t="s">
        <v>12</v>
      </c>
      <c r="B21" s="28">
        <v>43636</v>
      </c>
      <c r="C21" s="28">
        <f>B21*(1-0.0015)</f>
        <v>43570.546000000002</v>
      </c>
      <c r="D21" s="28">
        <f t="shared" ref="D21:H21" si="6">C21*(1-0.0015)</f>
        <v>43505.190181000005</v>
      </c>
      <c r="E21" s="28">
        <f t="shared" si="6"/>
        <v>43439.932395728509</v>
      </c>
      <c r="F21" s="28">
        <f t="shared" si="6"/>
        <v>43374.772497134916</v>
      </c>
      <c r="G21" s="28">
        <f t="shared" si="6"/>
        <v>43309.710338389217</v>
      </c>
      <c r="H21" s="28">
        <f t="shared" si="6"/>
        <v>43244.745772881637</v>
      </c>
      <c r="I21" s="5">
        <v>-1.5E-3</v>
      </c>
    </row>
    <row r="22" spans="1:15">
      <c r="A22" t="s">
        <v>29</v>
      </c>
      <c r="B22" s="28">
        <f t="shared" ref="B22:H22" si="7">SUM(B15:B21)</f>
        <v>148280</v>
      </c>
      <c r="C22" s="28">
        <f t="shared" si="7"/>
        <v>149364.59354999999</v>
      </c>
      <c r="D22" s="28">
        <f t="shared" si="7"/>
        <v>151342.08677315753</v>
      </c>
      <c r="E22" s="28">
        <f t="shared" si="7"/>
        <v>153382.93220874504</v>
      </c>
      <c r="F22" s="28">
        <f t="shared" si="7"/>
        <v>155489.33485531944</v>
      </c>
      <c r="G22" s="28">
        <f t="shared" si="7"/>
        <v>157663.58133009353</v>
      </c>
      <c r="H22" s="28">
        <f t="shared" si="7"/>
        <v>159908.04299159825</v>
      </c>
      <c r="I22" s="5">
        <v>-1.5E-3</v>
      </c>
    </row>
    <row r="23" spans="1:15">
      <c r="A23" t="s">
        <v>27</v>
      </c>
      <c r="B23" s="28">
        <v>121064</v>
      </c>
      <c r="C23" s="28">
        <v>121064</v>
      </c>
      <c r="D23" s="28">
        <f>C23*(1+$I$23)</f>
        <v>121754.06480000001</v>
      </c>
      <c r="E23" s="28">
        <f>D23*(1+$I$23)</f>
        <v>122448.06296936001</v>
      </c>
      <c r="F23" s="28">
        <f>E23*(1+$I$23)</f>
        <v>123146.01692828536</v>
      </c>
      <c r="G23" s="28">
        <f>F23*(1+$I$23)</f>
        <v>123847.94922477659</v>
      </c>
      <c r="H23" s="28">
        <f>G23*(1+$I$23)</f>
        <v>124553.88253535781</v>
      </c>
      <c r="I23" s="25">
        <f>AVERAGE(I15:I22)</f>
        <v>5.6999999999999993E-3</v>
      </c>
    </row>
    <row r="24" spans="1:15">
      <c r="A24" t="s">
        <v>28</v>
      </c>
      <c r="B24" s="28">
        <f>SUM(B22:B23)</f>
        <v>269344</v>
      </c>
      <c r="C24" s="28">
        <f>SUM(C22:C23)</f>
        <v>270428.59354999999</v>
      </c>
      <c r="D24" s="28">
        <f t="shared" ref="D24:H24" si="8">SUM(D22:D23)</f>
        <v>273096.15157315752</v>
      </c>
      <c r="E24" s="28">
        <f t="shared" si="8"/>
        <v>275830.99517810508</v>
      </c>
      <c r="F24" s="28">
        <f t="shared" si="8"/>
        <v>278635.35178360483</v>
      </c>
      <c r="G24" s="28">
        <f t="shared" si="8"/>
        <v>281511.53055487014</v>
      </c>
      <c r="H24" s="28">
        <f t="shared" si="8"/>
        <v>284461.9255269561</v>
      </c>
      <c r="J24" s="4"/>
    </row>
    <row r="25" spans="1:15">
      <c r="B25" s="31" t="s">
        <v>15</v>
      </c>
      <c r="C25" s="31"/>
      <c r="D25" s="31"/>
      <c r="E25" s="31"/>
      <c r="F25" s="31"/>
      <c r="I25" s="29" t="s">
        <v>34</v>
      </c>
      <c r="J25" s="29"/>
      <c r="K25" s="29"/>
      <c r="L25" s="29"/>
      <c r="M25" s="29"/>
      <c r="N25" s="29"/>
    </row>
    <row r="26" spans="1:15">
      <c r="A26" s="2" t="s">
        <v>11</v>
      </c>
      <c r="B26" s="2">
        <v>2010</v>
      </c>
      <c r="C26" s="2">
        <v>2011</v>
      </c>
      <c r="D26" s="2">
        <v>2012</v>
      </c>
      <c r="E26" s="2">
        <v>2013</v>
      </c>
      <c r="F26" s="2">
        <v>2014</v>
      </c>
      <c r="G26" s="2" t="s">
        <v>16</v>
      </c>
      <c r="H26" t="s">
        <v>35</v>
      </c>
      <c r="I26" s="24" t="s">
        <v>11</v>
      </c>
      <c r="J26" s="24">
        <v>2010</v>
      </c>
      <c r="K26" s="24">
        <v>2011</v>
      </c>
      <c r="L26" s="24">
        <v>2012</v>
      </c>
      <c r="M26" s="24">
        <v>2013</v>
      </c>
      <c r="N26" s="24">
        <v>2014</v>
      </c>
      <c r="O26" s="24"/>
    </row>
    <row r="27" spans="1:15">
      <c r="A27" t="s">
        <v>1</v>
      </c>
      <c r="B27" s="4">
        <f>$G$27*D15+(($D$23/7)*$G$27)</f>
        <v>474.29832135758932</v>
      </c>
      <c r="C27" s="4">
        <f t="shared" ref="C27:C33" si="9">$G$27*E15+(($G$27*($E$23/7)))</f>
        <v>482.12302701870306</v>
      </c>
      <c r="D27" s="4">
        <f t="shared" ref="D27:D33" si="10">$G$27*F15+(($G$27*($F$23/7)))</f>
        <v>490.10884092105346</v>
      </c>
      <c r="E27" s="4">
        <f>$G$27*G15+(($G$27*($G$23/7)))</f>
        <v>498.25933192539708</v>
      </c>
      <c r="F27" s="4">
        <f>$G$27*H15+($G$27*($H$23/7))</f>
        <v>506.57814953486786</v>
      </c>
      <c r="G27" s="25">
        <f>0.01</f>
        <v>0.01</v>
      </c>
      <c r="H27" s="4">
        <f>B27/12.17</f>
        <v>38.972746208511857</v>
      </c>
      <c r="I27" t="s">
        <v>1</v>
      </c>
      <c r="J27" s="4">
        <f>B27/12</f>
        <v>39.524860113132441</v>
      </c>
      <c r="K27" s="4">
        <f>C27/12</f>
        <v>40.176918918225255</v>
      </c>
      <c r="L27" s="4">
        <f>D27/12</f>
        <v>40.84240341008779</v>
      </c>
      <c r="M27" s="4">
        <f>E27/12</f>
        <v>41.521610993783092</v>
      </c>
      <c r="N27" s="4">
        <f t="shared" ref="N27:N33" si="11">F27/12</f>
        <v>42.214845794572319</v>
      </c>
      <c r="O27" s="25"/>
    </row>
    <row r="28" spans="1:15">
      <c r="A28" t="s">
        <v>2</v>
      </c>
      <c r="B28" s="4">
        <f t="shared" ref="B28:B33" si="12">$G$27*D16+(($D$23/7)*$G$27)</f>
        <v>472.67582596571435</v>
      </c>
      <c r="C28" s="4">
        <f t="shared" si="9"/>
        <v>485.61690982914297</v>
      </c>
      <c r="D28" s="4">
        <f t="shared" si="10"/>
        <v>499.04163113681</v>
      </c>
      <c r="E28" s="4">
        <f t="shared" ref="E28:E33" si="13">$G$27*G16+(($G$27*($G$23/7)))</f>
        <v>512.96914155279649</v>
      </c>
      <c r="F28" s="4">
        <f t="shared" ref="F28:F33" si="14">$G$27*H16+($G$27*($H$23/7))</f>
        <v>527.41935770289433</v>
      </c>
      <c r="G28" s="25">
        <f t="shared" ref="G28:G33" si="15">0.01</f>
        <v>0.01</v>
      </c>
      <c r="H28" s="4">
        <f t="shared" ref="H28:H33" si="16">B28/12.17</f>
        <v>38.839426948702908</v>
      </c>
      <c r="I28" t="s">
        <v>2</v>
      </c>
      <c r="J28" s="4">
        <f t="shared" ref="J28:J33" si="17">B28/12</f>
        <v>39.389652163809529</v>
      </c>
      <c r="K28" s="4">
        <f t="shared" ref="K28:K33" si="18">C28/12</f>
        <v>40.468075819095247</v>
      </c>
      <c r="L28" s="4">
        <f t="shared" ref="L28:L33" si="19">D28/12</f>
        <v>41.586802594734166</v>
      </c>
      <c r="M28" s="4">
        <f t="shared" ref="M28:M33" si="20">E28/12</f>
        <v>42.747428462733041</v>
      </c>
      <c r="N28" s="4">
        <f t="shared" si="11"/>
        <v>43.951613141907863</v>
      </c>
      <c r="O28" s="25"/>
    </row>
    <row r="29" spans="1:15">
      <c r="A29" t="s">
        <v>3</v>
      </c>
      <c r="B29" s="4">
        <f t="shared" si="12"/>
        <v>240.5657275357143</v>
      </c>
      <c r="C29" s="4">
        <f t="shared" si="9"/>
        <v>241.89031023819285</v>
      </c>
      <c r="D29" s="4">
        <f t="shared" si="10"/>
        <v>243.22220985235316</v>
      </c>
      <c r="E29" s="4">
        <f t="shared" si="13"/>
        <v>244.5614669185432</v>
      </c>
      <c r="F29" s="4">
        <f t="shared" si="14"/>
        <v>245.90812220236074</v>
      </c>
      <c r="G29" s="25">
        <f t="shared" si="15"/>
        <v>0.01</v>
      </c>
      <c r="H29" s="4">
        <f t="shared" si="16"/>
        <v>19.767109904331495</v>
      </c>
      <c r="I29" t="s">
        <v>3</v>
      </c>
      <c r="J29" s="4">
        <f t="shared" si="17"/>
        <v>20.047143961309526</v>
      </c>
      <c r="K29" s="4">
        <f t="shared" si="18"/>
        <v>20.157525853182737</v>
      </c>
      <c r="L29" s="4">
        <f t="shared" si="19"/>
        <v>20.268517487696098</v>
      </c>
      <c r="M29" s="4">
        <f>E29/12</f>
        <v>20.380122243211932</v>
      </c>
      <c r="N29" s="4">
        <f t="shared" si="11"/>
        <v>20.492343516863397</v>
      </c>
      <c r="O29" s="25"/>
    </row>
    <row r="30" spans="1:15">
      <c r="A30" t="s">
        <v>4</v>
      </c>
      <c r="B30" s="4">
        <f t="shared" si="12"/>
        <v>277.20238958541432</v>
      </c>
      <c r="C30" s="4">
        <f t="shared" si="9"/>
        <v>278.16283513825294</v>
      </c>
      <c r="D30" s="4">
        <f t="shared" si="10"/>
        <v>279.12894111316314</v>
      </c>
      <c r="E30" s="4">
        <f t="shared" si="13"/>
        <v>280.10073971878592</v>
      </c>
      <c r="F30" s="4">
        <f t="shared" si="14"/>
        <v>281.07826334736842</v>
      </c>
      <c r="G30" s="25">
        <f t="shared" si="15"/>
        <v>0.01</v>
      </c>
      <c r="H30" s="4">
        <f t="shared" si="16"/>
        <v>22.777517632326568</v>
      </c>
      <c r="I30" t="s">
        <v>4</v>
      </c>
      <c r="J30" s="4">
        <f t="shared" si="17"/>
        <v>23.100199132117861</v>
      </c>
      <c r="K30" s="4">
        <f t="shared" si="18"/>
        <v>23.180236261521078</v>
      </c>
      <c r="L30" s="4">
        <f t="shared" si="19"/>
        <v>23.260745092763596</v>
      </c>
      <c r="M30" s="4">
        <f t="shared" si="20"/>
        <v>23.341728309898826</v>
      </c>
      <c r="N30" s="4">
        <f t="shared" si="11"/>
        <v>23.4231886122807</v>
      </c>
      <c r="O30" s="25"/>
    </row>
    <row r="31" spans="1:15">
      <c r="A31" t="s">
        <v>5</v>
      </c>
      <c r="B31" s="4">
        <f t="shared" si="12"/>
        <v>307.87185195571431</v>
      </c>
      <c r="C31" s="4">
        <f t="shared" si="9"/>
        <v>308.99721538561283</v>
      </c>
      <c r="D31" s="4">
        <f t="shared" si="10"/>
        <v>310.12836388093558</v>
      </c>
      <c r="E31" s="4">
        <f t="shared" si="13"/>
        <v>311.26532978704927</v>
      </c>
      <c r="F31" s="4">
        <f t="shared" si="14"/>
        <v>312.4081456330598</v>
      </c>
      <c r="G31" s="25">
        <f t="shared" si="15"/>
        <v>0.01</v>
      </c>
      <c r="H31" s="4">
        <f t="shared" si="16"/>
        <v>25.297604926517199</v>
      </c>
      <c r="I31" t="s">
        <v>5</v>
      </c>
      <c r="J31" s="4">
        <f t="shared" si="17"/>
        <v>25.655987662976191</v>
      </c>
      <c r="K31" s="4">
        <f t="shared" si="18"/>
        <v>25.749767948801068</v>
      </c>
      <c r="L31" s="4">
        <f t="shared" si="19"/>
        <v>25.8440303234113</v>
      </c>
      <c r="M31" s="4">
        <f t="shared" si="20"/>
        <v>25.938777482254107</v>
      </c>
      <c r="N31" s="4">
        <f t="shared" si="11"/>
        <v>26.034012136088318</v>
      </c>
      <c r="O31" s="25"/>
    </row>
    <row r="32" spans="1:15">
      <c r="A32" t="s">
        <v>6</v>
      </c>
      <c r="B32" s="4">
        <f t="shared" si="12"/>
        <v>349.36111923571428</v>
      </c>
      <c r="C32" s="4">
        <f t="shared" si="9"/>
        <v>352.19452597191787</v>
      </c>
      <c r="D32" s="4">
        <f t="shared" si="10"/>
        <v>355.05292463426161</v>
      </c>
      <c r="E32" s="4">
        <f t="shared" si="13"/>
        <v>357.93655051255598</v>
      </c>
      <c r="F32" s="4">
        <f t="shared" si="14"/>
        <v>360.84564121253936</v>
      </c>
      <c r="G32" s="25">
        <f t="shared" si="15"/>
        <v>0.01</v>
      </c>
      <c r="H32" s="4">
        <f t="shared" si="16"/>
        <v>28.706747677544314</v>
      </c>
      <c r="I32" t="s">
        <v>6</v>
      </c>
      <c r="J32" s="4">
        <f t="shared" si="17"/>
        <v>29.11342660297619</v>
      </c>
      <c r="K32" s="4">
        <f t="shared" si="18"/>
        <v>29.349543830993156</v>
      </c>
      <c r="L32" s="4">
        <f t="shared" si="19"/>
        <v>29.5877437195218</v>
      </c>
      <c r="M32" s="4">
        <f t="shared" si="20"/>
        <v>29.828045876046332</v>
      </c>
      <c r="N32" s="4">
        <f t="shared" si="11"/>
        <v>30.070470101044947</v>
      </c>
      <c r="O32" s="25"/>
    </row>
    <row r="33" spans="1:15">
      <c r="A33" t="s">
        <v>12</v>
      </c>
      <c r="B33" s="4">
        <f t="shared" si="12"/>
        <v>608.98628009571439</v>
      </c>
      <c r="C33" s="4">
        <f t="shared" si="9"/>
        <v>609.32512819922795</v>
      </c>
      <c r="D33" s="4">
        <f t="shared" si="10"/>
        <v>609.67060629747107</v>
      </c>
      <c r="E33" s="4">
        <f t="shared" si="13"/>
        <v>610.02274513357304</v>
      </c>
      <c r="F33" s="4">
        <f t="shared" si="14"/>
        <v>610.38157563647042</v>
      </c>
      <c r="G33" s="25">
        <f t="shared" si="15"/>
        <v>0.01</v>
      </c>
      <c r="H33" s="4">
        <f t="shared" si="16"/>
        <v>50.039957279845062</v>
      </c>
      <c r="I33" t="s">
        <v>12</v>
      </c>
      <c r="J33" s="4">
        <f t="shared" si="17"/>
        <v>50.748856674642866</v>
      </c>
      <c r="K33" s="4">
        <f t="shared" si="18"/>
        <v>50.777094016602327</v>
      </c>
      <c r="L33" s="4">
        <f t="shared" si="19"/>
        <v>50.805883858122591</v>
      </c>
      <c r="M33" s="4">
        <f t="shared" si="20"/>
        <v>50.835228761131084</v>
      </c>
      <c r="N33" s="4">
        <f t="shared" si="11"/>
        <v>50.865131303039199</v>
      </c>
      <c r="O33" s="25"/>
    </row>
    <row r="34" spans="1:15">
      <c r="B34" s="4"/>
      <c r="C34" s="4"/>
      <c r="D34" s="4"/>
      <c r="E34" s="4"/>
      <c r="F34" s="4"/>
      <c r="G34" s="25"/>
      <c r="J34" s="4"/>
      <c r="K34" s="4"/>
      <c r="L34" s="4"/>
      <c r="M34" s="4"/>
      <c r="N34" s="4"/>
      <c r="O34" s="25"/>
    </row>
    <row r="35" spans="1:15">
      <c r="A35" t="s">
        <v>26</v>
      </c>
      <c r="B35" s="4">
        <f>SUM(B27:B33)</f>
        <v>2730.9615157315752</v>
      </c>
      <c r="C35" s="4">
        <f t="shared" ref="C35:F35" si="21">SUM(C27:C33)</f>
        <v>2758.3099517810506</v>
      </c>
      <c r="D35" s="4">
        <f t="shared" si="21"/>
        <v>2786.353517836048</v>
      </c>
      <c r="E35" s="4">
        <f t="shared" si="21"/>
        <v>2815.1153055487011</v>
      </c>
      <c r="F35" s="4">
        <f t="shared" si="21"/>
        <v>2844.6192552695611</v>
      </c>
      <c r="G35" s="25"/>
      <c r="I35" t="s">
        <v>26</v>
      </c>
      <c r="J35" s="4">
        <f>SUM(J27:J33)</f>
        <v>227.5801263109646</v>
      </c>
      <c r="K35" s="4">
        <f t="shared" ref="K35" si="22">SUM(K27:K33)</f>
        <v>229.85916264842086</v>
      </c>
      <c r="L35" s="4">
        <f t="shared" ref="L35" si="23">SUM(L27:L33)</f>
        <v>232.19612648633736</v>
      </c>
      <c r="M35" s="4">
        <f t="shared" ref="M35" si="24">SUM(M27:M33)</f>
        <v>234.5929421290584</v>
      </c>
      <c r="N35" s="4">
        <f t="shared" ref="N35" si="25">SUM(N27:N33)</f>
        <v>237.05160460579674</v>
      </c>
      <c r="O35" s="25"/>
    </row>
    <row r="36" spans="1:15">
      <c r="B36" s="4"/>
      <c r="C36" s="4"/>
      <c r="D36" s="4"/>
      <c r="E36" s="4"/>
      <c r="F36" s="4"/>
    </row>
    <row r="37" spans="1:15">
      <c r="B37" s="31">
        <v>2010</v>
      </c>
      <c r="C37" s="31"/>
      <c r="D37" s="31"/>
      <c r="E37" s="31"/>
      <c r="F37" s="31"/>
      <c r="G37" s="31"/>
      <c r="H37" s="31"/>
    </row>
    <row r="38" spans="1:15" ht="30">
      <c r="B38" s="2" t="s">
        <v>1</v>
      </c>
      <c r="C38" s="2" t="s">
        <v>2</v>
      </c>
      <c r="D38" s="2" t="s">
        <v>3</v>
      </c>
      <c r="E38" s="2" t="s">
        <v>4</v>
      </c>
      <c r="F38" s="2" t="s">
        <v>5</v>
      </c>
      <c r="G38" s="3" t="s">
        <v>6</v>
      </c>
      <c r="H38" s="3"/>
      <c r="I38" s="3"/>
      <c r="J38" s="3"/>
    </row>
    <row r="39" spans="1:15">
      <c r="A39" s="1" t="s">
        <v>7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I39" s="4">
        <f>SUM(B39:G39)</f>
        <v>0</v>
      </c>
      <c r="J39" s="8" t="s">
        <v>7</v>
      </c>
    </row>
    <row r="40" spans="1:15">
      <c r="A40" s="1" t="s">
        <v>8</v>
      </c>
      <c r="B40" s="4">
        <v>1</v>
      </c>
      <c r="C40" s="4">
        <v>0.99999999999999967</v>
      </c>
      <c r="D40" s="4">
        <v>1.0000000000000002</v>
      </c>
      <c r="E40" s="4">
        <v>1.0000000000000002</v>
      </c>
      <c r="F40" s="4">
        <v>1.0000000000000002</v>
      </c>
      <c r="G40" s="4">
        <v>1</v>
      </c>
      <c r="I40" s="4">
        <f>SUMPRODUCT(B40:G40,$B$10:$G$10)*2</f>
        <v>308</v>
      </c>
      <c r="J40" s="8" t="s">
        <v>32</v>
      </c>
    </row>
    <row r="41" spans="1:15">
      <c r="A41" s="1" t="s">
        <v>9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I41" s="4">
        <f>SUM(B41:G41)</f>
        <v>0</v>
      </c>
      <c r="J41" s="8" t="s">
        <v>30</v>
      </c>
    </row>
    <row r="42" spans="1:15">
      <c r="A42" s="1" t="s">
        <v>10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I42" s="4">
        <f>SUMPRODUCT(B42:G42,$B$10:$G$10)*2</f>
        <v>0</v>
      </c>
      <c r="J42" s="8" t="s">
        <v>31</v>
      </c>
    </row>
    <row r="43" spans="1:15">
      <c r="B43" s="4">
        <f>(B39*B44)+(B40*B44)+(B41*B44)+(B42*B44)</f>
        <v>474.29832135758932</v>
      </c>
      <c r="C43" s="4">
        <f t="shared" ref="C43:G43" si="26">(C39*C44)+(C40*C44)+(C41*C44)+(C42*C44)</f>
        <v>472.67582596571418</v>
      </c>
      <c r="D43" s="4">
        <f t="shared" si="26"/>
        <v>240.56572753571436</v>
      </c>
      <c r="E43" s="4">
        <f t="shared" si="26"/>
        <v>277.20238958541438</v>
      </c>
      <c r="F43" s="4">
        <f t="shared" si="26"/>
        <v>307.87185195571436</v>
      </c>
      <c r="G43" s="4">
        <f t="shared" si="26"/>
        <v>349.36111923571428</v>
      </c>
    </row>
    <row r="44" spans="1:15">
      <c r="A44" s="1" t="s">
        <v>18</v>
      </c>
      <c r="B44" s="4">
        <f>B27</f>
        <v>474.29832135758932</v>
      </c>
      <c r="C44" s="4">
        <f>B28</f>
        <v>472.67582596571435</v>
      </c>
      <c r="D44" s="4">
        <f>B29</f>
        <v>240.5657275357143</v>
      </c>
      <c r="E44" s="4">
        <f>B30</f>
        <v>277.20238958541432</v>
      </c>
      <c r="F44" s="4">
        <f>B31</f>
        <v>307.87185195571431</v>
      </c>
      <c r="G44" s="4">
        <f>B32</f>
        <v>349.36111923571428</v>
      </c>
      <c r="K44" s="1"/>
    </row>
    <row r="45" spans="1:15">
      <c r="A45" s="1" t="s">
        <v>19</v>
      </c>
      <c r="B45" s="4">
        <f>B35</f>
        <v>2730.9615157315752</v>
      </c>
    </row>
    <row r="46" spans="1:15">
      <c r="A46" s="1"/>
    </row>
    <row r="48" spans="1:15">
      <c r="B48" s="30">
        <v>2010</v>
      </c>
      <c r="C48" s="30"/>
      <c r="D48" s="30"/>
      <c r="E48" s="30"/>
      <c r="F48" s="24"/>
      <c r="G48" s="24"/>
      <c r="H48" s="24"/>
    </row>
    <row r="49" spans="1:8">
      <c r="B49" s="9"/>
      <c r="C49" s="10" t="s">
        <v>17</v>
      </c>
      <c r="D49" s="10" t="s">
        <v>21</v>
      </c>
      <c r="E49" s="11"/>
      <c r="F49" s="24"/>
      <c r="G49" s="3"/>
      <c r="H49" s="3"/>
    </row>
    <row r="50" spans="1:8">
      <c r="A50" s="1" t="s">
        <v>7</v>
      </c>
      <c r="B50" s="12"/>
      <c r="C50" s="23">
        <f>IF(I39&gt;0,$B4*I39*12,0)</f>
        <v>0</v>
      </c>
      <c r="D50" s="23">
        <v>0</v>
      </c>
      <c r="E50" s="13"/>
    </row>
    <row r="51" spans="1:8">
      <c r="A51" s="1" t="s">
        <v>8</v>
      </c>
      <c r="B51" s="12"/>
      <c r="C51" s="23">
        <f>(IF(I40&gt;0,$B5,0))</f>
        <v>1080</v>
      </c>
      <c r="D51" s="23">
        <f>2*12*C5*SUMPRODUCT(B40:G40,B10:G10)</f>
        <v>554.4</v>
      </c>
      <c r="E51" s="13"/>
    </row>
    <row r="52" spans="1:8">
      <c r="A52" s="1" t="s">
        <v>9</v>
      </c>
      <c r="B52" s="12"/>
      <c r="C52" s="23">
        <v>0</v>
      </c>
      <c r="D52" s="23">
        <f>I41*C6*12</f>
        <v>0</v>
      </c>
      <c r="E52" s="13"/>
    </row>
    <row r="53" spans="1:8">
      <c r="A53" s="1" t="s">
        <v>10</v>
      </c>
      <c r="B53" s="12"/>
      <c r="C53" s="23">
        <f>(IF(I42&gt;0,$B7*SUM(B42:G42)*12,0))</f>
        <v>0</v>
      </c>
      <c r="D53" s="23">
        <f>SUMPRODUCT(B42:G42,B10:G10)*C7*12</f>
        <v>0</v>
      </c>
      <c r="E53" s="13"/>
    </row>
    <row r="54" spans="1:8">
      <c r="B54" s="14" t="s">
        <v>20</v>
      </c>
      <c r="C54" s="26">
        <f>SUM(C50:C53)</f>
        <v>1080</v>
      </c>
      <c r="D54" s="26">
        <f>SUM(D50:D53)</f>
        <v>554.4</v>
      </c>
      <c r="E54" s="27">
        <f>SUM(C54:D54)</f>
        <v>1634.4</v>
      </c>
      <c r="F54" t="s">
        <v>33</v>
      </c>
    </row>
    <row r="55" spans="1:8">
      <c r="A55" s="1"/>
    </row>
    <row r="75" spans="1:1">
      <c r="A75" s="1"/>
    </row>
    <row r="76" spans="1:1">
      <c r="A76" s="1"/>
    </row>
    <row r="78" spans="1:1">
      <c r="A78" s="1"/>
    </row>
    <row r="79" spans="1:1">
      <c r="A79" s="1"/>
    </row>
    <row r="83" spans="1:8">
      <c r="B83" s="31"/>
      <c r="C83" s="31"/>
      <c r="D83" s="31"/>
      <c r="E83" s="31"/>
      <c r="F83" s="31"/>
      <c r="G83" s="31"/>
      <c r="H83" s="31"/>
    </row>
    <row r="84" spans="1:8">
      <c r="B84" s="2"/>
      <c r="C84" s="2"/>
      <c r="D84" s="2"/>
      <c r="E84" s="2"/>
      <c r="F84" s="2"/>
      <c r="G84" s="3"/>
      <c r="H84" s="3"/>
    </row>
    <row r="85" spans="1:8">
      <c r="A85" s="1"/>
    </row>
    <row r="86" spans="1:8">
      <c r="A86" s="1"/>
    </row>
    <row r="87" spans="1:8">
      <c r="A87" s="1"/>
    </row>
    <row r="88" spans="1:8">
      <c r="A88" s="1"/>
    </row>
    <row r="90" spans="1:8">
      <c r="A90" s="1"/>
    </row>
    <row r="91" spans="1:8">
      <c r="A91" s="1"/>
    </row>
  </sheetData>
  <mergeCells count="6">
    <mergeCell ref="I25:N25"/>
    <mergeCell ref="B48:E48"/>
    <mergeCell ref="B83:H83"/>
    <mergeCell ref="B13:F13"/>
    <mergeCell ref="B25:F25"/>
    <mergeCell ref="B37:H37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2010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Andrea Schmidt</cp:lastModifiedBy>
  <dcterms:created xsi:type="dcterms:W3CDTF">2009-11-26T16:27:15Z</dcterms:created>
  <dcterms:modified xsi:type="dcterms:W3CDTF">2010-03-04T13:15:37Z</dcterms:modified>
</cp:coreProperties>
</file>