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440" windowHeight="15315" activeTab="2"/>
  </bookViews>
  <sheets>
    <sheet name="cs" sheetId="21" r:id="rId1"/>
    <sheet name="econ with no fed grant" sheetId="972" r:id="rId2"/>
    <sheet name="econ with fed grant" sheetId="971" r:id="rId3"/>
    <sheet name="Sheet1" sheetId="973" r:id="rId4"/>
    <sheet name="Sheet2" sheetId="974" r:id="rId5"/>
    <sheet name="Sheet3" sheetId="975" r:id="rId6"/>
  </sheets>
  <definedNames>
    <definedName name="_xlnm.Print_Area" localSheetId="2">'econ with fed grant'!$A$1:$AA$42</definedName>
    <definedName name="_xlnm.Print_Area" localSheetId="1">'econ with no fed grant'!$A$1:$AA$43</definedName>
  </definedNames>
  <calcPr calcId="125725"/>
</workbook>
</file>

<file path=xl/calcChain.xml><?xml version="1.0" encoding="utf-8"?>
<calcChain xmlns="http://schemas.openxmlformats.org/spreadsheetml/2006/main">
  <c r="C5" i="972"/>
  <c r="C6"/>
  <c r="C7"/>
  <c r="L6" s="1"/>
  <c r="C8"/>
  <c r="C10" s="1"/>
  <c r="C11" s="1"/>
  <c r="C12" s="1"/>
  <c r="C13" s="1"/>
  <c r="D10"/>
  <c r="D11" s="1"/>
  <c r="F10"/>
  <c r="F11" s="1"/>
  <c r="H10"/>
  <c r="H11" s="1"/>
  <c r="J10"/>
  <c r="J11" s="1"/>
  <c r="L10"/>
  <c r="L11" s="1"/>
  <c r="M10"/>
  <c r="N10"/>
  <c r="N11" s="1"/>
  <c r="O10"/>
  <c r="P10"/>
  <c r="P11" s="1"/>
  <c r="Q10"/>
  <c r="R10"/>
  <c r="R11" s="1"/>
  <c r="S10"/>
  <c r="T10"/>
  <c r="T11" s="1"/>
  <c r="U10"/>
  <c r="V10"/>
  <c r="V11" s="1"/>
  <c r="W10"/>
  <c r="X10"/>
  <c r="X11" s="1"/>
  <c r="Y10"/>
  <c r="Z10"/>
  <c r="Z11" s="1"/>
  <c r="AA10"/>
  <c r="M11"/>
  <c r="O11"/>
  <c r="Q11"/>
  <c r="S11"/>
  <c r="U11"/>
  <c r="W11"/>
  <c r="Y11"/>
  <c r="AA11"/>
  <c r="M12"/>
  <c r="N12"/>
  <c r="N13" s="1"/>
  <c r="O12"/>
  <c r="P12"/>
  <c r="P13" s="1"/>
  <c r="Q12"/>
  <c r="R12"/>
  <c r="R13" s="1"/>
  <c r="S12"/>
  <c r="T12"/>
  <c r="T13" s="1"/>
  <c r="U12"/>
  <c r="V12"/>
  <c r="V13" s="1"/>
  <c r="W12"/>
  <c r="X12"/>
  <c r="X13" s="1"/>
  <c r="Y12"/>
  <c r="Z12"/>
  <c r="Z13" s="1"/>
  <c r="AA12"/>
  <c r="M13"/>
  <c r="O13"/>
  <c r="Q13"/>
  <c r="S13"/>
  <c r="U13"/>
  <c r="W13"/>
  <c r="Y13"/>
  <c r="AA13"/>
  <c r="C14"/>
  <c r="C15"/>
  <c r="D15"/>
  <c r="E15"/>
  <c r="F15"/>
  <c r="G15"/>
  <c r="C17"/>
  <c r="D17"/>
  <c r="E17"/>
  <c r="F17"/>
  <c r="G17"/>
  <c r="C18"/>
  <c r="D18"/>
  <c r="E18"/>
  <c r="F18"/>
  <c r="G18"/>
  <c r="O21"/>
  <c r="P21"/>
  <c r="Q21"/>
  <c r="R21"/>
  <c r="S21"/>
  <c r="T21"/>
  <c r="U21"/>
  <c r="V21"/>
  <c r="W21"/>
  <c r="X21"/>
  <c r="Y21"/>
  <c r="Z21"/>
  <c r="AA21"/>
  <c r="C22"/>
  <c r="D22" s="1"/>
  <c r="C5" i="971"/>
  <c r="E5"/>
  <c r="C7" s="1"/>
  <c r="C6"/>
  <c r="C8"/>
  <c r="C10" s="1"/>
  <c r="C11" s="1"/>
  <c r="C12" s="1"/>
  <c r="C13" s="1"/>
  <c r="K8"/>
  <c r="L8"/>
  <c r="D10"/>
  <c r="D11" s="1"/>
  <c r="F10"/>
  <c r="F11" s="1"/>
  <c r="H10"/>
  <c r="H11" s="1"/>
  <c r="J10"/>
  <c r="J11" s="1"/>
  <c r="L10"/>
  <c r="L11" s="1"/>
  <c r="M10"/>
  <c r="N10"/>
  <c r="N11" s="1"/>
  <c r="O10"/>
  <c r="P10"/>
  <c r="P11" s="1"/>
  <c r="Q10"/>
  <c r="R10"/>
  <c r="R11" s="1"/>
  <c r="S10"/>
  <c r="T10"/>
  <c r="T11" s="1"/>
  <c r="U10"/>
  <c r="V10"/>
  <c r="V11" s="1"/>
  <c r="W10"/>
  <c r="X10"/>
  <c r="X11" s="1"/>
  <c r="Y10"/>
  <c r="Z10"/>
  <c r="Z11" s="1"/>
  <c r="AA10"/>
  <c r="M11"/>
  <c r="O11"/>
  <c r="Q11"/>
  <c r="S11"/>
  <c r="U11"/>
  <c r="W11"/>
  <c r="Y11"/>
  <c r="AA11"/>
  <c r="M12"/>
  <c r="N12"/>
  <c r="N13" s="1"/>
  <c r="O12"/>
  <c r="P12"/>
  <c r="P13" s="1"/>
  <c r="Q12"/>
  <c r="R12"/>
  <c r="R13" s="1"/>
  <c r="S12"/>
  <c r="T12"/>
  <c r="T13" s="1"/>
  <c r="U12"/>
  <c r="V12"/>
  <c r="V13" s="1"/>
  <c r="W12"/>
  <c r="X12"/>
  <c r="X13" s="1"/>
  <c r="Y12"/>
  <c r="Z12"/>
  <c r="Z13" s="1"/>
  <c r="AA12"/>
  <c r="M13"/>
  <c r="O13"/>
  <c r="Q13"/>
  <c r="S13"/>
  <c r="U13"/>
  <c r="W13"/>
  <c r="Y13"/>
  <c r="AA13"/>
  <c r="C15"/>
  <c r="D15"/>
  <c r="E15"/>
  <c r="F15"/>
  <c r="G15"/>
  <c r="C17"/>
  <c r="D17"/>
  <c r="E17"/>
  <c r="F17"/>
  <c r="G17"/>
  <c r="C18"/>
  <c r="D18"/>
  <c r="E18"/>
  <c r="F18"/>
  <c r="G18"/>
  <c r="O21"/>
  <c r="P21"/>
  <c r="Q21"/>
  <c r="R21"/>
  <c r="S21"/>
  <c r="T21"/>
  <c r="U21"/>
  <c r="V21"/>
  <c r="W21"/>
  <c r="X21"/>
  <c r="Y21"/>
  <c r="Z21"/>
  <c r="AA21"/>
  <c r="C22"/>
  <c r="B3" i="973"/>
  <c r="F25"/>
  <c r="H33" i="974"/>
  <c r="H34"/>
  <c r="H35"/>
  <c r="H36"/>
  <c r="H37"/>
  <c r="H38"/>
  <c r="H39"/>
  <c r="H40"/>
  <c r="H41"/>
  <c r="H42"/>
  <c r="H43"/>
  <c r="H44"/>
  <c r="H45"/>
  <c r="H46"/>
  <c r="B49"/>
  <c r="H49"/>
  <c r="D22" i="971" l="1"/>
  <c r="C23"/>
  <c r="J12"/>
  <c r="J13" s="1"/>
  <c r="F12"/>
  <c r="F13" s="1"/>
  <c r="O3"/>
  <c r="L6"/>
  <c r="C14"/>
  <c r="E22" i="972"/>
  <c r="D23"/>
  <c r="L12"/>
  <c r="L13" s="1"/>
  <c r="H12"/>
  <c r="H13" s="1"/>
  <c r="D12"/>
  <c r="D13" s="1"/>
  <c r="D20"/>
  <c r="D21" s="1"/>
  <c r="F20"/>
  <c r="F21" s="1"/>
  <c r="H20"/>
  <c r="H21" s="1"/>
  <c r="J20"/>
  <c r="J21" s="1"/>
  <c r="L20"/>
  <c r="L21" s="1"/>
  <c r="N20"/>
  <c r="N21" s="1"/>
  <c r="C20"/>
  <c r="C21" s="1"/>
  <c r="E20"/>
  <c r="E21" s="1"/>
  <c r="G20"/>
  <c r="G21" s="1"/>
  <c r="I20"/>
  <c r="I21" s="1"/>
  <c r="K20"/>
  <c r="K21" s="1"/>
  <c r="M20"/>
  <c r="L12" i="971"/>
  <c r="L13" s="1"/>
  <c r="H12"/>
  <c r="H13" s="1"/>
  <c r="D12"/>
  <c r="D13" s="1"/>
  <c r="J12" i="972"/>
  <c r="J13" s="1"/>
  <c r="F12"/>
  <c r="F13" s="1"/>
  <c r="K10" i="971"/>
  <c r="K11" s="1"/>
  <c r="I10"/>
  <c r="I11" s="1"/>
  <c r="G10"/>
  <c r="G11" s="1"/>
  <c r="E10"/>
  <c r="E11" s="1"/>
  <c r="C23" i="972"/>
  <c r="K10"/>
  <c r="K11" s="1"/>
  <c r="I10"/>
  <c r="I11" s="1"/>
  <c r="G10"/>
  <c r="G11" s="1"/>
  <c r="E10"/>
  <c r="E11" s="1"/>
  <c r="O3"/>
  <c r="E12" l="1"/>
  <c r="E13" s="1"/>
  <c r="G12" i="971"/>
  <c r="G13" s="1"/>
  <c r="K12"/>
  <c r="K13" s="1"/>
  <c r="M21" i="972"/>
  <c r="D24"/>
  <c r="D25" s="1"/>
  <c r="D19" i="971"/>
  <c r="F19"/>
  <c r="H19"/>
  <c r="C19"/>
  <c r="E19"/>
  <c r="G19"/>
  <c r="E22"/>
  <c r="D23"/>
  <c r="I12" i="972"/>
  <c r="I13" s="1"/>
  <c r="C24"/>
  <c r="C25"/>
  <c r="D19"/>
  <c r="D26" s="1"/>
  <c r="F19"/>
  <c r="H19"/>
  <c r="C19"/>
  <c r="C26" s="1"/>
  <c r="C27" s="1"/>
  <c r="E19"/>
  <c r="G19"/>
  <c r="G12"/>
  <c r="G13" s="1"/>
  <c r="K12"/>
  <c r="K13" s="1"/>
  <c r="E12" i="971"/>
  <c r="E13" s="1"/>
  <c r="I12"/>
  <c r="I13" s="1"/>
  <c r="F22" i="972"/>
  <c r="E23"/>
  <c r="D20" i="971"/>
  <c r="D21" s="1"/>
  <c r="F20"/>
  <c r="F21" s="1"/>
  <c r="H20"/>
  <c r="H21" s="1"/>
  <c r="J20"/>
  <c r="L20"/>
  <c r="N20"/>
  <c r="C20"/>
  <c r="C21" s="1"/>
  <c r="E20"/>
  <c r="E21" s="1"/>
  <c r="G20"/>
  <c r="G21" s="1"/>
  <c r="I20"/>
  <c r="K20"/>
  <c r="M20"/>
  <c r="C24"/>
  <c r="C25" s="1"/>
  <c r="C26" l="1"/>
  <c r="C27" s="1"/>
  <c r="I21"/>
  <c r="E24" i="972"/>
  <c r="F22" i="971"/>
  <c r="E23"/>
  <c r="D27" i="972"/>
  <c r="B6" i="973"/>
  <c r="B5"/>
  <c r="B4"/>
  <c r="M21" i="971"/>
  <c r="N21"/>
  <c r="J21"/>
  <c r="K21"/>
  <c r="L21"/>
  <c r="G22" i="972"/>
  <c r="F23"/>
  <c r="D24" i="971"/>
  <c r="D26" s="1"/>
  <c r="D25"/>
  <c r="H22" i="972" l="1"/>
  <c r="G23"/>
  <c r="E24" i="971"/>
  <c r="E25" i="972"/>
  <c r="E26" s="1"/>
  <c r="E27" s="1"/>
  <c r="D27" i="971"/>
  <c r="F24" i="972"/>
  <c r="F25" s="1"/>
  <c r="F26" s="1"/>
  <c r="G22" i="971"/>
  <c r="F23"/>
  <c r="F27" i="972" l="1"/>
  <c r="F24" i="971"/>
  <c r="F25" s="1"/>
  <c r="F26" s="1"/>
  <c r="B7" i="973"/>
  <c r="G24" i="972"/>
  <c r="G25" s="1"/>
  <c r="G26" s="1"/>
  <c r="E26" i="971"/>
  <c r="E27" s="1"/>
  <c r="H22"/>
  <c r="G23"/>
  <c r="I22" i="972"/>
  <c r="H23"/>
  <c r="E25" i="971"/>
  <c r="F27" l="1"/>
  <c r="H25" i="972"/>
  <c r="H26" s="1"/>
  <c r="H24"/>
  <c r="G25" i="971"/>
  <c r="G26" s="1"/>
  <c r="G24"/>
  <c r="B8" i="973"/>
  <c r="J22" i="972"/>
  <c r="I23"/>
  <c r="I22" i="971"/>
  <c r="H23"/>
  <c r="G27" i="972"/>
  <c r="H27" s="1"/>
  <c r="K22" l="1"/>
  <c r="J23"/>
  <c r="H24" i="971"/>
  <c r="H25"/>
  <c r="B9" i="973"/>
  <c r="H26" i="971"/>
  <c r="I24" i="972"/>
  <c r="I25"/>
  <c r="I26" s="1"/>
  <c r="I27" s="1"/>
  <c r="G27" i="971"/>
  <c r="H27" s="1"/>
  <c r="J22"/>
  <c r="I23"/>
  <c r="K22" l="1"/>
  <c r="J23"/>
  <c r="J25" i="972"/>
  <c r="J24"/>
  <c r="J26"/>
  <c r="J27" s="1"/>
  <c r="I24" i="971"/>
  <c r="I25" s="1"/>
  <c r="B10" i="973"/>
  <c r="L22" i="972"/>
  <c r="K23"/>
  <c r="K24" l="1"/>
  <c r="K25" s="1"/>
  <c r="K26" s="1"/>
  <c r="K27" s="1"/>
  <c r="M22"/>
  <c r="L23"/>
  <c r="J24" i="971"/>
  <c r="J25"/>
  <c r="B11" i="973"/>
  <c r="J26" i="971"/>
  <c r="I26"/>
  <c r="I27" s="1"/>
  <c r="L22"/>
  <c r="K23"/>
  <c r="M22" l="1"/>
  <c r="L23"/>
  <c r="K25"/>
  <c r="K24"/>
  <c r="B12" i="973"/>
  <c r="K26" i="971"/>
  <c r="N22" i="972"/>
  <c r="M23"/>
  <c r="J27" i="971"/>
  <c r="K27" s="1"/>
  <c r="L24" i="972"/>
  <c r="L25" s="1"/>
  <c r="M24" l="1"/>
  <c r="M25"/>
  <c r="M26"/>
  <c r="L24" i="971"/>
  <c r="L25"/>
  <c r="L26"/>
  <c r="B13" i="973"/>
  <c r="L26" i="972"/>
  <c r="L27" s="1"/>
  <c r="M27" s="1"/>
  <c r="O22"/>
  <c r="N23"/>
  <c r="N22" i="971"/>
  <c r="M23"/>
  <c r="L27"/>
  <c r="M24" l="1"/>
  <c r="M25" s="1"/>
  <c r="M26" s="1"/>
  <c r="M27" s="1"/>
  <c r="B14" i="973"/>
  <c r="N24" i="972"/>
  <c r="N25" s="1"/>
  <c r="O22" i="971"/>
  <c r="N23"/>
  <c r="P22" i="972"/>
  <c r="O23"/>
  <c r="O24" l="1"/>
  <c r="O25"/>
  <c r="O26" s="1"/>
  <c r="N24" i="971"/>
  <c r="N25"/>
  <c r="B15" i="973"/>
  <c r="N26" i="971"/>
  <c r="N27" s="1"/>
  <c r="N26" i="972"/>
  <c r="N27" s="1"/>
  <c r="Q22"/>
  <c r="P23"/>
  <c r="P22" i="971"/>
  <c r="O23"/>
  <c r="Q22" l="1"/>
  <c r="P23"/>
  <c r="O25"/>
  <c r="O24"/>
  <c r="B16" i="973"/>
  <c r="O26" i="971"/>
  <c r="O27" s="1"/>
  <c r="P24" i="972"/>
  <c r="P25" s="1"/>
  <c r="P26" s="1"/>
  <c r="O27"/>
  <c r="R22"/>
  <c r="Q23"/>
  <c r="S22" l="1"/>
  <c r="R23"/>
  <c r="Q24"/>
  <c r="Q25"/>
  <c r="Q26" s="1"/>
  <c r="P24" i="971"/>
  <c r="P25"/>
  <c r="B17" i="973"/>
  <c r="P26" i="971"/>
  <c r="P27" s="1"/>
  <c r="P27" i="972"/>
  <c r="R22" i="971"/>
  <c r="Q23"/>
  <c r="S22" l="1"/>
  <c r="R23"/>
  <c r="B18" i="973"/>
  <c r="Q24" i="971"/>
  <c r="Q25" s="1"/>
  <c r="R25" i="972"/>
  <c r="R24"/>
  <c r="R26"/>
  <c r="Q27"/>
  <c r="T22"/>
  <c r="S23"/>
  <c r="U22" l="1"/>
  <c r="T23"/>
  <c r="S24"/>
  <c r="S26"/>
  <c r="S25"/>
  <c r="R24" i="971"/>
  <c r="R25" s="1"/>
  <c r="B19" i="973"/>
  <c r="R27" i="972"/>
  <c r="S27" s="1"/>
  <c r="Q26" i="971"/>
  <c r="Q27" s="1"/>
  <c r="T22"/>
  <c r="S23"/>
  <c r="U22" l="1"/>
  <c r="T23"/>
  <c r="S24"/>
  <c r="S25" s="1"/>
  <c r="S26" s="1"/>
  <c r="B20" i="973"/>
  <c r="V22" i="972"/>
  <c r="U23"/>
  <c r="R26" i="971"/>
  <c r="R27" s="1"/>
  <c r="S27" s="1"/>
  <c r="T24" i="972"/>
  <c r="T25" s="1"/>
  <c r="U24" l="1"/>
  <c r="U26" s="1"/>
  <c r="U25"/>
  <c r="W22"/>
  <c r="V23"/>
  <c r="V22" i="971"/>
  <c r="U23"/>
  <c r="T26" i="972"/>
  <c r="T27" s="1"/>
  <c r="T24" i="971"/>
  <c r="T25"/>
  <c r="B21" i="973"/>
  <c r="T26" i="971"/>
  <c r="T27" s="1"/>
  <c r="W22" l="1"/>
  <c r="V23"/>
  <c r="X22" i="972"/>
  <c r="W23"/>
  <c r="U27"/>
  <c r="U25" i="971"/>
  <c r="B22" i="973"/>
  <c r="U24" i="971"/>
  <c r="U26" s="1"/>
  <c r="U27" s="1"/>
  <c r="V25" i="972"/>
  <c r="V24"/>
  <c r="V26"/>
  <c r="W24" l="1"/>
  <c r="W26" s="1"/>
  <c r="W25"/>
  <c r="V24" i="971"/>
  <c r="V25"/>
  <c r="B23" i="973"/>
  <c r="C25" s="1"/>
  <c r="V26" i="971"/>
  <c r="V27" s="1"/>
  <c r="Y22" i="972"/>
  <c r="X23"/>
  <c r="X22" i="971"/>
  <c r="W23"/>
  <c r="V27" i="972"/>
  <c r="Y22" i="971" l="1"/>
  <c r="X23"/>
  <c r="Z22" i="972"/>
  <c r="Y23"/>
  <c r="W25" i="971"/>
  <c r="W24"/>
  <c r="W26"/>
  <c r="W27" s="1"/>
  <c r="X24" i="972"/>
  <c r="X25" s="1"/>
  <c r="W27"/>
  <c r="Y24" l="1"/>
  <c r="Y26" s="1"/>
  <c r="Y25"/>
  <c r="X24" i="971"/>
  <c r="X25"/>
  <c r="X26"/>
  <c r="X27" s="1"/>
  <c r="X26" i="972"/>
  <c r="AA22"/>
  <c r="AA23" s="1"/>
  <c r="Z23"/>
  <c r="Z22" i="971"/>
  <c r="Y23"/>
  <c r="X27" i="972"/>
  <c r="AA22" i="971" l="1"/>
  <c r="AA23" s="1"/>
  <c r="Z23"/>
  <c r="AA24" i="972"/>
  <c r="AA26" s="1"/>
  <c r="AA25"/>
  <c r="Y27"/>
  <c r="Y24" i="971"/>
  <c r="Y25" s="1"/>
  <c r="Z24" i="972"/>
  <c r="Z25" s="1"/>
  <c r="Z26" s="1"/>
  <c r="Z24" i="971" l="1"/>
  <c r="Z25"/>
  <c r="Z26" s="1"/>
  <c r="Y26"/>
  <c r="Y27" s="1"/>
  <c r="Z27" i="972"/>
  <c r="AA27" s="1"/>
  <c r="AA25" i="971"/>
  <c r="AA24"/>
  <c r="AA26"/>
  <c r="Z27" l="1"/>
  <c r="AA27" s="1"/>
</calcChain>
</file>

<file path=xl/sharedStrings.xml><?xml version="1.0" encoding="utf-8"?>
<sst xmlns="http://schemas.openxmlformats.org/spreadsheetml/2006/main" count="147" uniqueCount="79">
  <si>
    <t>IRR=</t>
    <phoneticPr fontId="32" type="noConversion"/>
  </si>
  <si>
    <t>Month Total</t>
  </si>
  <si>
    <t>Date</t>
    <phoneticPr fontId="32" type="noConversion"/>
  </si>
  <si>
    <t>Billed kWh</t>
    <phoneticPr fontId="32" type="noConversion"/>
  </si>
  <si>
    <t>kWh Charges</t>
    <phoneticPr fontId="32" type="noConversion"/>
  </si>
  <si>
    <t>Demand</t>
    <phoneticPr fontId="32" type="noConversion"/>
  </si>
  <si>
    <t>Demand $</t>
    <phoneticPr fontId="32" type="noConversion"/>
  </si>
  <si>
    <t>Taxes</t>
    <phoneticPr fontId="32" type="noConversion"/>
  </si>
  <si>
    <t>Other Charges</t>
    <phoneticPr fontId="32" type="noConversion"/>
  </si>
  <si>
    <t>Month Total</t>
    <phoneticPr fontId="32" type="noConversion"/>
  </si>
  <si>
    <t>1 Year</t>
    <phoneticPr fontId="32" type="noConversion"/>
  </si>
  <si>
    <t>p: (858) 668-1701</t>
  </si>
  <si>
    <t>Solar Electric Power Generation</t>
  </si>
  <si>
    <t>Customer:</t>
  </si>
  <si>
    <t>Year</t>
  </si>
  <si>
    <t>Sytem Size (Kw) DC:</t>
  </si>
  <si>
    <t>Loan Duration (years):</t>
  </si>
  <si>
    <t>Loan interest rate:</t>
  </si>
  <si>
    <t>Basis - Fed. Dep (95% of cost):</t>
  </si>
  <si>
    <t>Sytem Size (Kw) AC:</t>
  </si>
  <si>
    <t>Total System Cost:</t>
  </si>
  <si>
    <t>Yr. 1 Fed Dep. %:</t>
  </si>
  <si>
    <t>Yr. 4 Fed Dep. %:</t>
  </si>
  <si>
    <t>Rebate amount:</t>
  </si>
  <si>
    <t>Fed tax rate:</t>
  </si>
  <si>
    <t>year 1 price per kw:</t>
  </si>
  <si>
    <t>Basis - State Dep:</t>
  </si>
  <si>
    <t>Yr. 2 Fed Dep. %:</t>
  </si>
  <si>
    <t>Yr. 5 Fed Dep. %:</t>
  </si>
  <si>
    <t>State tax rate:</t>
  </si>
  <si>
    <t>% inc. $ per kw/year:</t>
  </si>
  <si>
    <t>Yr. 3 Fed Dep. %:</t>
  </si>
  <si>
    <t>Yr. 6 Fed Dep. %:</t>
  </si>
  <si>
    <t>loan amount:</t>
  </si>
  <si>
    <t xml:space="preserve"> </t>
  </si>
  <si>
    <t>yearly loan interest</t>
  </si>
  <si>
    <t>interst tax savings</t>
  </si>
  <si>
    <t>Federal Tax Credit</t>
  </si>
  <si>
    <t>FED Dep</t>
  </si>
  <si>
    <t>State Dep</t>
  </si>
  <si>
    <t>price per kw</t>
  </si>
  <si>
    <t>totals</t>
  </si>
  <si>
    <t>Net</t>
  </si>
  <si>
    <t>Rebate rate:</t>
  </si>
  <si>
    <t>CEC hrs of sun</t>
  </si>
  <si>
    <t>Federal Grant:</t>
  </si>
  <si>
    <t>PBI rate:</t>
  </si>
  <si>
    <t>Net cost post rebate &amp; grant:</t>
  </si>
  <si>
    <t>mo. Cost</t>
  </si>
  <si>
    <t>year cost</t>
  </si>
  <si>
    <t>PBI</t>
  </si>
  <si>
    <t>Carbon Credit</t>
  </si>
  <si>
    <t>Increased Fed Tax</t>
  </si>
  <si>
    <t>Increased State Tax</t>
  </si>
  <si>
    <t>Avoided SDG&amp;E energy</t>
  </si>
  <si>
    <t>Notes:</t>
  </si>
  <si>
    <t>Line 4</t>
  </si>
  <si>
    <t>Performance based incentive</t>
  </si>
  <si>
    <t>Line 5</t>
  </si>
  <si>
    <t>Possible future sale of carbon credits (not instituted at this time)</t>
  </si>
  <si>
    <t>Line 6</t>
  </si>
  <si>
    <t>Increase fed taxes due to sale of carbon credits</t>
  </si>
  <si>
    <t>Line 7</t>
  </si>
  <si>
    <t>Increase state taxes due to sale of carbon credits</t>
  </si>
  <si>
    <t>Line 10</t>
  </si>
  <si>
    <t>Fed Taxes increase due to state depreciation savings reducing overall state taxes</t>
  </si>
  <si>
    <t>Line 12</t>
  </si>
  <si>
    <t>State Taxes increase due to loss of avoided energy cost</t>
  </si>
  <si>
    <t>Line 13</t>
  </si>
  <si>
    <t xml:space="preserve">Fed Taxes increase due to loss of avoided energy cost and decrease by </t>
  </si>
  <si>
    <t>state tax increase due to the same.</t>
  </si>
  <si>
    <t>Do you want to finance?</t>
  </si>
  <si>
    <t>no</t>
  </si>
  <si>
    <t>Fed Grant Size</t>
  </si>
  <si>
    <t>Bates Bros.</t>
  </si>
  <si>
    <t>NVP =</t>
    <phoneticPr fontId="32" type="noConversion"/>
  </si>
  <si>
    <t>Cash Flows</t>
  </si>
  <si>
    <t>Net Yearly Total</t>
  </si>
  <si>
    <t>Appendix 1</t>
  </si>
</sst>
</file>

<file path=xl/styles.xml><?xml version="1.0" encoding="utf-8"?>
<styleSheet xmlns="http://schemas.openxmlformats.org/spreadsheetml/2006/main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00_);[Red]\(&quot;$&quot;#,##0.0000\)"/>
    <numFmt numFmtId="165" formatCode="0.0000"/>
    <numFmt numFmtId="166" formatCode="0.000"/>
    <numFmt numFmtId="167" formatCode="#,##0.000_);[Red]\(#,##0.000\)"/>
    <numFmt numFmtId="168" formatCode="&quot;$&quot;#,##0.00"/>
  </numFmts>
  <fonts count="37">
    <font>
      <sz val="10"/>
      <name val="Arial"/>
    </font>
    <font>
      <sz val="10"/>
      <name val="Arial"/>
      <family val="2"/>
    </font>
    <font>
      <sz val="10"/>
      <name val="Copperplate Gothic Light"/>
      <family val="2"/>
    </font>
    <font>
      <sz val="14"/>
      <name val="Copperplate Gothic Light"/>
      <family val="2"/>
    </font>
    <font>
      <sz val="14"/>
      <color indexed="48"/>
      <name val="Copperplate Gothic Light"/>
      <family val="2"/>
    </font>
    <font>
      <sz val="16"/>
      <color indexed="8"/>
      <name val="Copperplate Gothic Light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sz val="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Verdana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46"/>
      </patternFill>
    </fill>
    <fill>
      <patternFill patternType="solid">
        <fgColor indexed="49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6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2" borderId="0" applyNumberFormat="0" applyBorder="0" applyAlignment="0" applyProtection="0"/>
    <xf numFmtId="0" fontId="16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4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10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1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0" fontId="6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0" fontId="7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7" fillId="0" borderId="0" xfId="0" applyFont="1" applyAlignment="1">
      <alignment horizontal="right" vertical="top"/>
    </xf>
    <xf numFmtId="10" fontId="9" fillId="0" borderId="0" xfId="0" applyNumberFormat="1" applyFont="1" applyBorder="1" applyAlignment="1">
      <alignment horizontal="center"/>
    </xf>
    <xf numFmtId="40" fontId="7" fillId="0" borderId="0" xfId="0" applyNumberFormat="1" applyFont="1" applyBorder="1" applyAlignment="1">
      <alignment horizontal="right"/>
    </xf>
    <xf numFmtId="40" fontId="7" fillId="0" borderId="0" xfId="0" applyNumberFormat="1" applyFont="1" applyBorder="1" applyAlignment="1">
      <alignment horizontal="center"/>
    </xf>
    <xf numFmtId="9" fontId="7" fillId="0" borderId="0" xfId="39" applyFont="1" applyBorder="1" applyAlignment="1">
      <alignment horizontal="center"/>
    </xf>
    <xf numFmtId="8" fontId="7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8" fontId="9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40" fontId="7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8" fontId="12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166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40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40" fontId="14" fillId="0" borderId="0" xfId="0" applyNumberFormat="1" applyFont="1" applyAlignment="1">
      <alignment horizontal="left" vertical="top"/>
    </xf>
    <xf numFmtId="0" fontId="7" fillId="0" borderId="10" xfId="0" applyFont="1" applyBorder="1" applyAlignment="1">
      <alignment horizontal="center"/>
    </xf>
    <xf numFmtId="38" fontId="7" fillId="0" borderId="11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right"/>
    </xf>
    <xf numFmtId="167" fontId="8" fillId="0" borderId="14" xfId="0" applyNumberFormat="1" applyFont="1" applyBorder="1" applyAlignment="1">
      <alignment horizontal="center" shrinkToFit="1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right"/>
    </xf>
    <xf numFmtId="1" fontId="8" fillId="0" borderId="14" xfId="0" applyNumberFormat="1" applyFont="1" applyBorder="1" applyAlignment="1">
      <alignment horizontal="left" shrinkToFit="1"/>
    </xf>
    <xf numFmtId="0" fontId="7" fillId="0" borderId="16" xfId="0" applyFont="1" applyBorder="1" applyAlignment="1">
      <alignment horizontal="center"/>
    </xf>
    <xf numFmtId="10" fontId="8" fillId="0" borderId="17" xfId="0" applyNumberFormat="1" applyFont="1" applyBorder="1" applyAlignment="1">
      <alignment horizontal="center" shrinkToFit="1"/>
    </xf>
    <xf numFmtId="8" fontId="8" fillId="0" borderId="18" xfId="0" applyNumberFormat="1" applyFont="1" applyBorder="1" applyAlignment="1">
      <alignment horizontal="center" shrinkToFit="1"/>
    </xf>
    <xf numFmtId="0" fontId="7" fillId="0" borderId="19" xfId="0" applyFont="1" applyBorder="1" applyAlignment="1">
      <alignment horizontal="right"/>
    </xf>
    <xf numFmtId="167" fontId="8" fillId="0" borderId="19" xfId="0" applyNumberFormat="1" applyFont="1" applyBorder="1" applyAlignment="1">
      <alignment horizontal="center" shrinkToFit="1"/>
    </xf>
    <xf numFmtId="0" fontId="7" fillId="0" borderId="20" xfId="0" applyFont="1" applyBorder="1" applyAlignment="1">
      <alignment horizontal="center"/>
    </xf>
    <xf numFmtId="1" fontId="7" fillId="0" borderId="21" xfId="0" applyNumberFormat="1" applyFont="1" applyBorder="1" applyAlignment="1">
      <alignment horizontal="left"/>
    </xf>
    <xf numFmtId="8" fontId="7" fillId="0" borderId="19" xfId="0" applyNumberFormat="1" applyFont="1" applyBorder="1" applyAlignment="1">
      <alignment horizontal="center"/>
    </xf>
    <xf numFmtId="8" fontId="7" fillId="0" borderId="22" xfId="0" applyNumberFormat="1" applyFont="1" applyBorder="1" applyAlignment="1">
      <alignment horizontal="center"/>
    </xf>
    <xf numFmtId="8" fontId="8" fillId="0" borderId="19" xfId="0" applyNumberFormat="1" applyFont="1" applyBorder="1" applyAlignment="1">
      <alignment horizontal="center" shrinkToFit="1"/>
    </xf>
    <xf numFmtId="8" fontId="7" fillId="0" borderId="19" xfId="0" applyNumberFormat="1" applyFont="1" applyBorder="1" applyAlignment="1">
      <alignment horizontal="left"/>
    </xf>
    <xf numFmtId="10" fontId="7" fillId="0" borderId="23" xfId="0" applyNumberFormat="1" applyFont="1" applyBorder="1" applyAlignment="1">
      <alignment horizontal="center"/>
    </xf>
    <xf numFmtId="10" fontId="8" fillId="0" borderId="24" xfId="0" applyNumberFormat="1" applyFont="1" applyBorder="1" applyAlignment="1">
      <alignment horizontal="center" shrinkToFit="1"/>
    </xf>
    <xf numFmtId="10" fontId="8" fillId="0" borderId="19" xfId="0" applyNumberFormat="1" applyFont="1" applyBorder="1" applyAlignment="1">
      <alignment horizontal="center" shrinkToFit="1"/>
    </xf>
    <xf numFmtId="10" fontId="8" fillId="0" borderId="19" xfId="0" applyNumberFormat="1" applyFont="1" applyBorder="1" applyAlignment="1">
      <alignment horizontal="left" shrinkToFit="1"/>
    </xf>
    <xf numFmtId="164" fontId="10" fillId="0" borderId="24" xfId="0" applyNumberFormat="1" applyFont="1" applyBorder="1" applyAlignment="1">
      <alignment horizontal="center" shrinkToFit="1"/>
    </xf>
    <xf numFmtId="0" fontId="7" fillId="0" borderId="19" xfId="0" applyFont="1" applyBorder="1" applyAlignment="1">
      <alignment horizontal="right" wrapText="1"/>
    </xf>
    <xf numFmtId="10" fontId="10" fillId="0" borderId="19" xfId="0" applyNumberFormat="1" applyFont="1" applyBorder="1" applyAlignment="1">
      <alignment horizontal="center" shrinkToFit="1"/>
    </xf>
    <xf numFmtId="10" fontId="7" fillId="0" borderId="19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center"/>
    </xf>
    <xf numFmtId="0" fontId="7" fillId="0" borderId="25" xfId="0" applyFont="1" applyBorder="1" applyAlignment="1">
      <alignment horizontal="right"/>
    </xf>
    <xf numFmtId="40" fontId="7" fillId="0" borderId="25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10" fontId="7" fillId="0" borderId="25" xfId="0" applyNumberFormat="1" applyFont="1" applyBorder="1" applyAlignment="1">
      <alignment horizontal="left"/>
    </xf>
    <xf numFmtId="0" fontId="9" fillId="0" borderId="25" xfId="0" applyFont="1" applyBorder="1" applyAlignment="1">
      <alignment horizontal="right"/>
    </xf>
    <xf numFmtId="10" fontId="9" fillId="0" borderId="25" xfId="0" applyNumberFormat="1" applyFont="1" applyBorder="1" applyAlignment="1">
      <alignment horizontal="center"/>
    </xf>
    <xf numFmtId="10" fontId="7" fillId="0" borderId="25" xfId="0" applyNumberFormat="1" applyFont="1" applyBorder="1" applyAlignment="1">
      <alignment horizontal="center"/>
    </xf>
    <xf numFmtId="8" fontId="7" fillId="0" borderId="26" xfId="0" applyNumberFormat="1" applyFont="1" applyBorder="1" applyAlignment="1">
      <alignment horizontal="center"/>
    </xf>
    <xf numFmtId="8" fontId="8" fillId="0" borderId="27" xfId="0" applyNumberFormat="1" applyFont="1" applyBorder="1" applyAlignment="1">
      <alignment horizontal="center" shrinkToFit="1"/>
    </xf>
    <xf numFmtId="8" fontId="7" fillId="0" borderId="28" xfId="0" applyNumberFormat="1" applyFont="1" applyBorder="1" applyAlignment="1">
      <alignment horizontal="center"/>
    </xf>
    <xf numFmtId="8" fontId="8" fillId="0" borderId="29" xfId="0" applyNumberFormat="1" applyFont="1" applyBorder="1" applyAlignment="1">
      <alignment horizontal="center" shrinkToFit="1"/>
    </xf>
    <xf numFmtId="8" fontId="9" fillId="0" borderId="22" xfId="0" applyNumberFormat="1" applyFont="1" applyBorder="1" applyAlignment="1">
      <alignment horizontal="center"/>
    </xf>
    <xf numFmtId="8" fontId="10" fillId="0" borderId="22" xfId="0" applyNumberFormat="1" applyFont="1" applyBorder="1" applyAlignment="1">
      <alignment horizontal="center" shrinkToFit="1"/>
    </xf>
    <xf numFmtId="8" fontId="7" fillId="0" borderId="30" xfId="0" applyNumberFormat="1" applyFont="1" applyBorder="1" applyAlignment="1">
      <alignment horizontal="center"/>
    </xf>
    <xf numFmtId="8" fontId="8" fillId="0" borderId="31" xfId="0" applyNumberFormat="1" applyFont="1" applyBorder="1" applyAlignment="1">
      <alignment horizontal="center" shrinkToFit="1"/>
    </xf>
    <xf numFmtId="8" fontId="8" fillId="0" borderId="32" xfId="0" applyNumberFormat="1" applyFont="1" applyBorder="1" applyAlignment="1">
      <alignment horizontal="center" shrinkToFit="1"/>
    </xf>
    <xf numFmtId="8" fontId="10" fillId="0" borderId="31" xfId="0" applyNumberFormat="1" applyFont="1" applyBorder="1" applyAlignment="1">
      <alignment horizontal="center" shrinkToFit="1"/>
    </xf>
    <xf numFmtId="8" fontId="8" fillId="0" borderId="33" xfId="0" applyNumberFormat="1" applyFont="1" applyBorder="1" applyAlignment="1">
      <alignment horizontal="center"/>
    </xf>
    <xf numFmtId="8" fontId="8" fillId="0" borderId="19" xfId="0" applyNumberFormat="1" applyFont="1" applyBorder="1" applyAlignment="1">
      <alignment horizontal="center"/>
    </xf>
    <xf numFmtId="8" fontId="8" fillId="0" borderId="29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165" fontId="10" fillId="0" borderId="22" xfId="0" applyNumberFormat="1" applyFont="1" applyBorder="1" applyAlignment="1">
      <alignment horizontal="center" shrinkToFit="1"/>
    </xf>
    <xf numFmtId="8" fontId="7" fillId="0" borderId="34" xfId="0" applyNumberFormat="1" applyFont="1" applyBorder="1" applyAlignment="1">
      <alignment horizontal="center"/>
    </xf>
    <xf numFmtId="8" fontId="8" fillId="0" borderId="35" xfId="0" applyNumberFormat="1" applyFont="1" applyBorder="1" applyAlignment="1">
      <alignment horizontal="center" shrinkToFit="1"/>
    </xf>
    <xf numFmtId="8" fontId="7" fillId="0" borderId="36" xfId="0" applyNumberFormat="1" applyFont="1" applyBorder="1" applyAlignment="1">
      <alignment horizontal="center"/>
    </xf>
    <xf numFmtId="8" fontId="8" fillId="0" borderId="37" xfId="0" applyNumberFormat="1" applyFont="1" applyBorder="1" applyAlignment="1">
      <alignment horizontal="center" shrinkToFit="1"/>
    </xf>
    <xf numFmtId="8" fontId="7" fillId="0" borderId="38" xfId="0" applyNumberFormat="1" applyFont="1" applyBorder="1" applyAlignment="1">
      <alignment horizontal="center"/>
    </xf>
    <xf numFmtId="8" fontId="8" fillId="0" borderId="38" xfId="0" applyNumberFormat="1" applyFont="1" applyBorder="1" applyAlignment="1">
      <alignment horizontal="center" shrinkToFit="1"/>
    </xf>
    <xf numFmtId="10" fontId="7" fillId="0" borderId="0" xfId="0" applyNumberFormat="1" applyFont="1" applyBorder="1" applyAlignment="1">
      <alignment horizontal="left"/>
    </xf>
    <xf numFmtId="8" fontId="0" fillId="0" borderId="0" xfId="0" applyNumberFormat="1"/>
    <xf numFmtId="16" fontId="0" fillId="0" borderId="0" xfId="0" applyNumberFormat="1"/>
    <xf numFmtId="15" fontId="0" fillId="0" borderId="0" xfId="0" applyNumberFormat="1"/>
    <xf numFmtId="168" fontId="0" fillId="0" borderId="0" xfId="0" applyNumberFormat="1"/>
    <xf numFmtId="1" fontId="0" fillId="0" borderId="0" xfId="0" applyNumberFormat="1"/>
    <xf numFmtId="16" fontId="34" fillId="0" borderId="0" xfId="0" applyNumberFormat="1" applyFont="1" applyAlignment="1">
      <alignment horizontal="center"/>
    </xf>
    <xf numFmtId="9" fontId="0" fillId="0" borderId="0" xfId="0" applyNumberFormat="1"/>
    <xf numFmtId="44" fontId="0" fillId="0" borderId="0" xfId="0" applyNumberFormat="1"/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8" fontId="35" fillId="0" borderId="19" xfId="0" applyNumberFormat="1" applyFont="1" applyBorder="1"/>
    <xf numFmtId="8" fontId="0" fillId="0" borderId="19" xfId="0" applyNumberFormat="1" applyBorder="1"/>
    <xf numFmtId="0" fontId="0" fillId="0" borderId="19" xfId="0" applyBorder="1"/>
    <xf numFmtId="0" fontId="36" fillId="0" borderId="19" xfId="0" applyFont="1" applyBorder="1" applyAlignment="1">
      <alignment horizontal="center"/>
    </xf>
    <xf numFmtId="8" fontId="0" fillId="0" borderId="19" xfId="0" applyNumberFormat="1" applyBorder="1" applyAlignment="1">
      <alignment horizontal="center" shrinkToFit="1"/>
    </xf>
    <xf numFmtId="0" fontId="0" fillId="0" borderId="19" xfId="0" applyNumberFormat="1" applyBorder="1" applyAlignment="1">
      <alignment horizontal="center"/>
    </xf>
    <xf numFmtId="16" fontId="34" fillId="0" borderId="19" xfId="0" applyNumberFormat="1" applyFont="1" applyBorder="1" applyAlignment="1">
      <alignment horizontal="center"/>
    </xf>
    <xf numFmtId="16" fontId="34" fillId="0" borderId="19" xfId="0" applyNumberFormat="1" applyFont="1" applyBorder="1"/>
    <xf numFmtId="15" fontId="0" fillId="0" borderId="19" xfId="0" applyNumberFormat="1" applyBorder="1"/>
    <xf numFmtId="1" fontId="0" fillId="0" borderId="19" xfId="0" applyNumberFormat="1" applyBorder="1"/>
    <xf numFmtId="168" fontId="0" fillId="0" borderId="19" xfId="0" applyNumberFormat="1" applyBorder="1"/>
    <xf numFmtId="0" fontId="0" fillId="0" borderId="39" xfId="0" applyBorder="1"/>
    <xf numFmtId="1" fontId="0" fillId="0" borderId="22" xfId="0" applyNumberFormat="1" applyBorder="1"/>
    <xf numFmtId="0" fontId="0" fillId="0" borderId="22" xfId="0" applyBorder="1"/>
    <xf numFmtId="168" fontId="0" fillId="0" borderId="29" xfId="0" applyNumberFormat="1" applyBorder="1"/>
  </cellXfs>
  <cellStyles count="43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39" builtinId="5"/>
    <cellStyle name="Sheet Title" xfId="40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88372093023261"/>
          <c:y val="6.6239454459331826E-2"/>
          <c:w val="0.76511627906976698"/>
          <c:h val="0.77564264415282114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'econ with no fed grant'!$C$2:$AA$2</c:f>
              <c:numCache>
                <c:formatCode>General</c:formatCode>
                <c:ptCount val="25"/>
                <c:pt idx="0" formatCode="#,##0_);[Red]\(#,##0\)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'econ with no fed grant'!$C$27:$AA$27</c:f>
              <c:numCache>
                <c:formatCode>"$"#,##0.00_);[Red]\("$"#,##0.00\)</c:formatCode>
                <c:ptCount val="25"/>
                <c:pt idx="0">
                  <c:v>-540808.1602641287</c:v>
                </c:pt>
                <c:pt idx="1">
                  <c:v>-388864.72939994349</c:v>
                </c:pt>
                <c:pt idx="2">
                  <c:v>-273109.34030505794</c:v>
                </c:pt>
                <c:pt idx="3">
                  <c:v>-177976.62147608795</c:v>
                </c:pt>
                <c:pt idx="4">
                  <c:v>-80194.826493654036</c:v>
                </c:pt>
                <c:pt idx="5">
                  <c:v>-17599.987026529692</c:v>
                </c:pt>
                <c:pt idx="6">
                  <c:v>30778.095948875023</c:v>
                </c:pt>
                <c:pt idx="7">
                  <c:v>82493.251943712094</c:v>
                </c:pt>
                <c:pt idx="8">
                  <c:v>137812.44679953615</c:v>
                </c:pt>
                <c:pt idx="9">
                  <c:v>197024.00362522615</c:v>
                </c:pt>
                <c:pt idx="10">
                  <c:v>260439.31137837135</c:v>
                </c:pt>
                <c:pt idx="11">
                  <c:v>328394.67013316817</c:v>
                </c:pt>
                <c:pt idx="12">
                  <c:v>394588.61373724876</c:v>
                </c:pt>
                <c:pt idx="13">
                  <c:v>466078.07282965578</c:v>
                </c:pt>
                <c:pt idx="14">
                  <c:v>543286.68864945532</c:v>
                </c:pt>
                <c:pt idx="15">
                  <c:v>626671.99373483891</c:v>
                </c:pt>
                <c:pt idx="16">
                  <c:v>716728.12322705321</c:v>
                </c:pt>
                <c:pt idx="17">
                  <c:v>813988.74307864462</c:v>
                </c:pt>
                <c:pt idx="18">
                  <c:v>919030.21251836338</c:v>
                </c:pt>
                <c:pt idx="19">
                  <c:v>1032474.9995132596</c:v>
                </c:pt>
                <c:pt idx="20">
                  <c:v>1154995.3694677476</c:v>
                </c:pt>
                <c:pt idx="21">
                  <c:v>1287317.3690185947</c:v>
                </c:pt>
                <c:pt idx="22">
                  <c:v>1430225.1285335096</c:v>
                </c:pt>
                <c:pt idx="23">
                  <c:v>1584565.5088096175</c:v>
                </c:pt>
                <c:pt idx="24">
                  <c:v>1751253.1195078141</c:v>
                </c:pt>
              </c:numCache>
            </c:numRef>
          </c:yVal>
          <c:smooth val="1"/>
        </c:ser>
        <c:axId val="108553728"/>
        <c:axId val="108560384"/>
      </c:scatterChart>
      <c:valAx>
        <c:axId val="108553728"/>
        <c:scaling>
          <c:orientation val="minMax"/>
          <c:max val="25"/>
        </c:scaling>
        <c:axPos val="b"/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Years</a:t>
                </a:r>
              </a:p>
            </c:rich>
          </c:tx>
          <c:layout>
            <c:manualLayout>
              <c:xMode val="edge"/>
              <c:yMode val="edge"/>
              <c:x val="0.54069765936792147"/>
              <c:y val="0.87607017071583992"/>
            </c:manualLayout>
          </c:layout>
          <c:spPr>
            <a:noFill/>
            <a:ln w="25400">
              <a:noFill/>
            </a:ln>
          </c:spPr>
        </c:title>
        <c:numFmt formatCode="#,##0_);[Red]\(#,##0\)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60384"/>
        <c:crosses val="autoZero"/>
        <c:crossBetween val="midCat"/>
        <c:majorUnit val="5"/>
        <c:minorUnit val="1"/>
      </c:valAx>
      <c:valAx>
        <c:axId val="108560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Cum Cash Flow</a:t>
                </a:r>
              </a:p>
            </c:rich>
          </c:tx>
          <c:layout>
            <c:manualLayout>
              <c:xMode val="edge"/>
              <c:yMode val="edge"/>
              <c:x val="1.8604681264157048E-2"/>
              <c:y val="0.25213720079861812"/>
            </c:manualLayout>
          </c:layout>
          <c:spPr>
            <a:noFill/>
            <a:ln w="25400">
              <a:noFill/>
            </a:ln>
          </c:spPr>
        </c:title>
        <c:numFmt formatCode="\$#,##0_);[Red]\(\$#,##0\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537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88372093023261"/>
          <c:y val="6.6239454459331826E-2"/>
          <c:w val="0.76511627906976698"/>
          <c:h val="0.77564264415282114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'econ with fed grant'!$C$2:$AA$2</c:f>
              <c:numCache>
                <c:formatCode>General</c:formatCode>
                <c:ptCount val="25"/>
                <c:pt idx="0" formatCode="#,##0_);[Red]\(#,##0\)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'econ with fed grant'!$C$27:$AA$27</c:f>
              <c:numCache>
                <c:formatCode>"$"#,##0.00_);[Red]\("$"#,##0.00\)</c:formatCode>
                <c:ptCount val="25"/>
                <c:pt idx="0">
                  <c:v>-394708.18188225385</c:v>
                </c:pt>
                <c:pt idx="1">
                  <c:v>-268467.91707219364</c:v>
                </c:pt>
                <c:pt idx="2">
                  <c:v>-168800.89463303305</c:v>
                </c:pt>
                <c:pt idx="3">
                  <c:v>-83987.662820748068</c:v>
                </c:pt>
                <c:pt idx="4">
                  <c:v>3474.6451450008608</c:v>
                </c:pt>
                <c:pt idx="5">
                  <c:v>60076.657324720203</c:v>
                </c:pt>
                <c:pt idx="6">
                  <c:v>106788.57274199993</c:v>
                </c:pt>
                <c:pt idx="7">
                  <c:v>156837.56117871203</c:v>
                </c:pt>
                <c:pt idx="8">
                  <c:v>210490.5884764111</c:v>
                </c:pt>
                <c:pt idx="9">
                  <c:v>268035.97774397611</c:v>
                </c:pt>
                <c:pt idx="10">
                  <c:v>329785.11793899629</c:v>
                </c:pt>
                <c:pt idx="11">
                  <c:v>396074.3091356681</c:v>
                </c:pt>
                <c:pt idx="12">
                  <c:v>462268.25273974868</c:v>
                </c:pt>
                <c:pt idx="13">
                  <c:v>533757.71183215571</c:v>
                </c:pt>
                <c:pt idx="14">
                  <c:v>610966.3276519553</c:v>
                </c:pt>
                <c:pt idx="15">
                  <c:v>694351.63273733889</c:v>
                </c:pt>
                <c:pt idx="16">
                  <c:v>784407.76222955319</c:v>
                </c:pt>
                <c:pt idx="17">
                  <c:v>881668.38208114461</c:v>
                </c:pt>
                <c:pt idx="18">
                  <c:v>986709.85152086336</c:v>
                </c:pt>
                <c:pt idx="19">
                  <c:v>1100154.6385157597</c:v>
                </c:pt>
                <c:pt idx="20">
                  <c:v>1222675.0084702477</c:v>
                </c:pt>
                <c:pt idx="21">
                  <c:v>1354997.0080210948</c:v>
                </c:pt>
                <c:pt idx="22">
                  <c:v>1497904.7675360097</c:v>
                </c:pt>
                <c:pt idx="23">
                  <c:v>1652245.1478121176</c:v>
                </c:pt>
                <c:pt idx="24">
                  <c:v>1818932.7585103142</c:v>
                </c:pt>
              </c:numCache>
            </c:numRef>
          </c:yVal>
          <c:smooth val="1"/>
        </c:ser>
        <c:axId val="145456512"/>
        <c:axId val="151492864"/>
      </c:scatterChart>
      <c:valAx>
        <c:axId val="145456512"/>
        <c:scaling>
          <c:orientation val="minMax"/>
          <c:max val="25"/>
        </c:scaling>
        <c:axPos val="b"/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Years</a:t>
                </a:r>
              </a:p>
            </c:rich>
          </c:tx>
          <c:layout>
            <c:manualLayout>
              <c:xMode val="edge"/>
              <c:yMode val="edge"/>
              <c:x val="0.54069765936792147"/>
              <c:y val="0.87607017071583992"/>
            </c:manualLayout>
          </c:layout>
          <c:spPr>
            <a:noFill/>
            <a:ln w="25400">
              <a:noFill/>
            </a:ln>
          </c:spPr>
        </c:title>
        <c:numFmt formatCode="#,##0_);[Red]\(#,##0\)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492864"/>
        <c:crosses val="autoZero"/>
        <c:crossBetween val="midCat"/>
        <c:majorUnit val="5"/>
        <c:minorUnit val="1"/>
      </c:valAx>
      <c:valAx>
        <c:axId val="151492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Cum Cash Flow</a:t>
                </a:r>
              </a:p>
            </c:rich>
          </c:tx>
          <c:layout>
            <c:manualLayout>
              <c:xMode val="edge"/>
              <c:yMode val="edge"/>
              <c:x val="1.8604681264157048E-2"/>
              <c:y val="0.25213720079861812"/>
            </c:manualLayout>
          </c:layout>
          <c:spPr>
            <a:noFill/>
            <a:ln w="25400">
              <a:noFill/>
            </a:ln>
          </c:spPr>
        </c:title>
        <c:numFmt formatCode="\$#,##0_);[Red]\(\$#,##0\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54565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/>
      <c:barChart>
        <c:barDir val="col"/>
        <c:grouping val="stacked"/>
        <c:ser>
          <c:idx val="0"/>
          <c:order val="0"/>
          <c:tx>
            <c:strRef>
              <c:f>Sheet2!$K$31</c:f>
              <c:strCache>
                <c:ptCount val="1"/>
                <c:pt idx="0">
                  <c:v>Month Total</c:v>
                </c:pt>
              </c:strCache>
            </c:strRef>
          </c:tx>
          <c:spPr>
            <a:solidFill>
              <a:srgbClr val="616161"/>
            </a:solidFill>
            <a:ln w="25400">
              <a:noFill/>
            </a:ln>
          </c:spPr>
          <c:cat>
            <c:numRef>
              <c:f>Sheet2!$J$32:$J$48</c:f>
              <c:numCache>
                <c:formatCode>d\-mmm\-yy</c:formatCode>
                <c:ptCount val="17"/>
                <c:pt idx="0">
                  <c:v>39912</c:v>
                </c:pt>
                <c:pt idx="1">
                  <c:v>39942</c:v>
                </c:pt>
                <c:pt idx="2">
                  <c:v>39973</c:v>
                </c:pt>
                <c:pt idx="3">
                  <c:v>40003</c:v>
                </c:pt>
                <c:pt idx="4">
                  <c:v>40034</c:v>
                </c:pt>
                <c:pt idx="5">
                  <c:v>40065</c:v>
                </c:pt>
                <c:pt idx="6">
                  <c:v>40095</c:v>
                </c:pt>
                <c:pt idx="7">
                  <c:v>40126</c:v>
                </c:pt>
                <c:pt idx="8">
                  <c:v>40156</c:v>
                </c:pt>
                <c:pt idx="9">
                  <c:v>40187</c:v>
                </c:pt>
                <c:pt idx="10">
                  <c:v>40218</c:v>
                </c:pt>
                <c:pt idx="11">
                  <c:v>40246</c:v>
                </c:pt>
                <c:pt idx="12">
                  <c:v>40277</c:v>
                </c:pt>
                <c:pt idx="13">
                  <c:v>40307</c:v>
                </c:pt>
                <c:pt idx="14">
                  <c:v>40338</c:v>
                </c:pt>
                <c:pt idx="15">
                  <c:v>40368</c:v>
                </c:pt>
                <c:pt idx="16">
                  <c:v>40399</c:v>
                </c:pt>
              </c:numCache>
            </c:numRef>
          </c:cat>
          <c:val>
            <c:numRef>
              <c:f>Sheet2!$K$32:$K$48</c:f>
              <c:numCache>
                <c:formatCode>"$"#,##0.00</c:formatCode>
                <c:ptCount val="17"/>
                <c:pt idx="0">
                  <c:v>2646.23</c:v>
                </c:pt>
                <c:pt idx="1">
                  <c:v>3794.19</c:v>
                </c:pt>
                <c:pt idx="2">
                  <c:v>3863.82</c:v>
                </c:pt>
                <c:pt idx="3">
                  <c:v>4839.9899999999989</c:v>
                </c:pt>
                <c:pt idx="4">
                  <c:v>5039.96</c:v>
                </c:pt>
                <c:pt idx="5">
                  <c:v>4857.369999999999</c:v>
                </c:pt>
                <c:pt idx="6">
                  <c:v>4536.26</c:v>
                </c:pt>
                <c:pt idx="7">
                  <c:v>4219.5499999999993</c:v>
                </c:pt>
                <c:pt idx="8">
                  <c:v>2878.3599999999997</c:v>
                </c:pt>
                <c:pt idx="9">
                  <c:v>2482.0700000000002</c:v>
                </c:pt>
                <c:pt idx="10">
                  <c:v>2325.9700000000003</c:v>
                </c:pt>
                <c:pt idx="11">
                  <c:v>2241.2400000000002</c:v>
                </c:pt>
                <c:pt idx="12">
                  <c:v>2469.0500000000002</c:v>
                </c:pt>
                <c:pt idx="13">
                  <c:v>2994.79</c:v>
                </c:pt>
                <c:pt idx="14">
                  <c:v>3635.18</c:v>
                </c:pt>
                <c:pt idx="15">
                  <c:v>4219.28</c:v>
                </c:pt>
                <c:pt idx="16">
                  <c:v>4130.8900000000003</c:v>
                </c:pt>
              </c:numCache>
            </c:numRef>
          </c:val>
        </c:ser>
        <c:overlap val="100"/>
        <c:axId val="108572032"/>
        <c:axId val="108987520"/>
      </c:barChart>
      <c:dateAx>
        <c:axId val="108572032"/>
        <c:scaling>
          <c:orientation val="minMax"/>
        </c:scaling>
        <c:axPos val="b"/>
        <c:numFmt formatCode="d\-mmm\-yy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987520"/>
        <c:crosses val="autoZero"/>
        <c:auto val="1"/>
        <c:lblOffset val="100"/>
      </c:dateAx>
      <c:valAx>
        <c:axId val="108987520"/>
        <c:scaling>
          <c:orientation val="minMax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&quot;$&quot;#,##0.00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572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410037373198077"/>
          <c:y val="0.57759336099585057"/>
          <c:w val="0.14095034703683929"/>
          <c:h val="5.975103734439834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25400">
      <a:solidFill>
        <a:srgbClr val="666699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6</xdr:row>
      <xdr:rowOff>123825</xdr:rowOff>
    </xdr:from>
    <xdr:to>
      <xdr:col>8</xdr:col>
      <xdr:colOff>457200</xdr:colOff>
      <xdr:row>15</xdr:row>
      <xdr:rowOff>247650</xdr:rowOff>
    </xdr:to>
    <xdr:pic>
      <xdr:nvPicPr>
        <xdr:cNvPr id="1025" name="Picture 2" descr="Jimmy1_copy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095375"/>
          <a:ext cx="5086350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771525</xdr:colOff>
      <xdr:row>24</xdr:row>
      <xdr:rowOff>133350</xdr:rowOff>
    </xdr:from>
    <xdr:to>
      <xdr:col>8</xdr:col>
      <xdr:colOff>114085</xdr:colOff>
      <xdr:row>28</xdr:row>
      <xdr:rowOff>219075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885825" y="5086350"/>
          <a:ext cx="4219575" cy="990600"/>
        </a:xfrm>
        <a:prstGeom prst="rect">
          <a:avLst/>
        </a:prstGeom>
        <a:noFill/>
        <a:ln w="25400">
          <a:solidFill>
            <a:srgbClr val="3366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2800" b="0" i="0" u="none" strike="noStrike" baseline="0">
              <a:solidFill>
                <a:srgbClr val="000000"/>
              </a:solidFill>
              <a:latin typeface="Copperplate Gothic Light"/>
            </a:rPr>
            <a:t>Presentation for:</a:t>
          </a:r>
        </a:p>
        <a:p>
          <a:pPr algn="ctr" rtl="0">
            <a:defRPr sz="1000"/>
          </a:pPr>
          <a:r>
            <a:rPr lang="en-US" sz="2800" b="0" i="0" u="none" strike="noStrike" baseline="0">
              <a:solidFill>
                <a:srgbClr val="000000"/>
              </a:solidFill>
              <a:latin typeface="Copperplate Gothic Light"/>
            </a:rPr>
            <a:t>Bates Bros.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27</xdr:row>
      <xdr:rowOff>114300</xdr:rowOff>
    </xdr:from>
    <xdr:to>
      <xdr:col>24</xdr:col>
      <xdr:colOff>523875</xdr:colOff>
      <xdr:row>42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190500</xdr:colOff>
      <xdr:row>27</xdr:row>
      <xdr:rowOff>180975</xdr:rowOff>
    </xdr:from>
    <xdr:to>
      <xdr:col>25</xdr:col>
      <xdr:colOff>523875</xdr:colOff>
      <xdr:row>42</xdr:row>
      <xdr:rowOff>66675</xdr:rowOff>
    </xdr:to>
    <xdr:graphicFrame macro="">
      <xdr:nvGraphicFramePr>
        <xdr:cNvPr id="409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85725</xdr:rowOff>
    </xdr:from>
    <xdr:to>
      <xdr:col>7</xdr:col>
      <xdr:colOff>628650</xdr:colOff>
      <xdr:row>25</xdr:row>
      <xdr:rowOff>85725</xdr:rowOff>
    </xdr:to>
    <xdr:graphicFrame macro="">
      <xdr:nvGraphicFramePr>
        <xdr:cNvPr id="716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9:E32"/>
  <sheetViews>
    <sheetView workbookViewId="0">
      <selection activeCell="K17" sqref="K17"/>
    </sheetView>
  </sheetViews>
  <sheetFormatPr defaultColWidth="8.7109375" defaultRowHeight="12.75"/>
  <cols>
    <col min="1" max="1" width="13.42578125" style="1" customWidth="1"/>
    <col min="2" max="16384" width="8.7109375" style="1"/>
  </cols>
  <sheetData>
    <row r="9" s="2" customFormat="1" ht="18"/>
    <row r="10" s="2" customFormat="1" ht="18"/>
    <row r="11" s="2" customFormat="1" ht="18"/>
    <row r="12" s="2" customFormat="1" ht="18"/>
    <row r="13" s="2" customFormat="1" ht="18"/>
    <row r="14" s="2" customFormat="1" ht="18"/>
    <row r="15" s="2" customFormat="1" ht="18"/>
    <row r="16" s="2" customFormat="1" ht="18"/>
    <row r="17" spans="5:5" s="2" customFormat="1" ht="18"/>
    <row r="18" spans="5:5" s="2" customFormat="1" ht="18">
      <c r="E18" s="3" t="s">
        <v>12</v>
      </c>
    </row>
    <row r="19" spans="5:5" s="2" customFormat="1" ht="18">
      <c r="E19" s="3"/>
    </row>
    <row r="20" spans="5:5" s="2" customFormat="1" ht="19.5">
      <c r="E20" s="4" t="s">
        <v>11</v>
      </c>
    </row>
    <row r="21" spans="5:5" s="2" customFormat="1" ht="18"/>
    <row r="22" spans="5:5" s="2" customFormat="1" ht="18"/>
    <row r="23" spans="5:5" s="2" customFormat="1" ht="18"/>
    <row r="24" spans="5:5" s="2" customFormat="1" ht="18"/>
    <row r="25" spans="5:5" s="2" customFormat="1" ht="18"/>
    <row r="26" spans="5:5" s="2" customFormat="1" ht="18"/>
    <row r="27" spans="5:5" s="2" customFormat="1" ht="18"/>
    <row r="28" spans="5:5" s="2" customFormat="1" ht="18"/>
    <row r="29" spans="5:5" s="2" customFormat="1" ht="18"/>
    <row r="30" spans="5:5" s="2" customFormat="1" ht="18"/>
    <row r="31" spans="5:5" s="2" customFormat="1" ht="18"/>
    <row r="32" spans="5:5" s="2" customFormat="1" ht="18"/>
  </sheetData>
  <phoneticPr fontId="0" type="noConversion"/>
  <printOptions horizontalCentered="1"/>
  <pageMargins left="0.25" right="0.25" top="0.5" bottom="0.5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4"/>
  <sheetViews>
    <sheetView showGridLines="0" workbookViewId="0">
      <selection activeCell="C1" sqref="C1"/>
    </sheetView>
  </sheetViews>
  <sheetFormatPr defaultColWidth="11.7109375" defaultRowHeight="11.25"/>
  <cols>
    <col min="1" max="1" width="2.85546875" style="9" customWidth="1"/>
    <col min="2" max="2" width="17" style="10" customWidth="1"/>
    <col min="3" max="3" width="13.7109375" style="24" customWidth="1"/>
    <col min="4" max="16384" width="11.7109375" style="10"/>
  </cols>
  <sheetData>
    <row r="1" spans="1:27" s="6" customFormat="1" ht="36" customHeight="1">
      <c r="A1" s="5"/>
      <c r="B1" s="6" t="s">
        <v>13</v>
      </c>
      <c r="C1" s="7" t="s">
        <v>74</v>
      </c>
      <c r="F1" s="8"/>
    </row>
    <row r="2" spans="1:27" ht="18.95" customHeight="1" thickBot="1">
      <c r="B2" s="33" t="s">
        <v>14</v>
      </c>
      <c r="C2" s="34">
        <v>1</v>
      </c>
      <c r="D2" s="35">
        <v>2</v>
      </c>
      <c r="E2" s="35">
        <v>3</v>
      </c>
      <c r="F2" s="36">
        <v>4</v>
      </c>
      <c r="G2" s="35">
        <v>5</v>
      </c>
      <c r="H2" s="35">
        <v>6</v>
      </c>
      <c r="I2" s="35">
        <v>7</v>
      </c>
      <c r="J2" s="35">
        <v>8</v>
      </c>
      <c r="K2" s="35">
        <v>9</v>
      </c>
      <c r="L2" s="35">
        <v>10</v>
      </c>
      <c r="M2" s="35">
        <v>11</v>
      </c>
      <c r="N2" s="35">
        <v>12</v>
      </c>
      <c r="O2" s="35">
        <v>13</v>
      </c>
      <c r="P2" s="35">
        <v>14</v>
      </c>
      <c r="Q2" s="35">
        <v>15</v>
      </c>
      <c r="R2" s="35">
        <v>16</v>
      </c>
      <c r="S2" s="35">
        <v>17</v>
      </c>
      <c r="T2" s="35">
        <v>18</v>
      </c>
      <c r="U2" s="35">
        <v>19</v>
      </c>
      <c r="V2" s="35">
        <v>20</v>
      </c>
      <c r="W2" s="35">
        <v>21</v>
      </c>
      <c r="X2" s="35">
        <v>22</v>
      </c>
      <c r="Y2" s="35">
        <v>23</v>
      </c>
      <c r="Z2" s="35">
        <v>24</v>
      </c>
      <c r="AA2" s="35">
        <v>25</v>
      </c>
    </row>
    <row r="3" spans="1:27" ht="18.95" customHeight="1" thickTop="1">
      <c r="B3" s="37" t="s">
        <v>15</v>
      </c>
      <c r="C3" s="38">
        <v>148</v>
      </c>
      <c r="D3" s="39"/>
      <c r="E3" s="40" t="s">
        <v>16</v>
      </c>
      <c r="F3" s="41">
        <v>10</v>
      </c>
      <c r="G3" s="42"/>
      <c r="H3" s="40" t="s">
        <v>17</v>
      </c>
      <c r="I3" s="43">
        <v>0.05</v>
      </c>
      <c r="J3" s="42"/>
      <c r="K3"/>
      <c r="L3"/>
      <c r="M3" s="42"/>
      <c r="N3" s="11" t="s">
        <v>18</v>
      </c>
      <c r="O3" s="44">
        <f>-$C$7*0.95</f>
        <v>883713.17999999982</v>
      </c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8.95" customHeight="1">
      <c r="B4" s="45" t="s">
        <v>19</v>
      </c>
      <c r="C4" s="46">
        <v>127.428</v>
      </c>
      <c r="D4" s="47"/>
      <c r="E4" s="11"/>
      <c r="F4" s="48"/>
      <c r="G4" s="12"/>
      <c r="H4" s="11" t="s">
        <v>43</v>
      </c>
      <c r="I4" s="49">
        <v>0</v>
      </c>
      <c r="J4" s="26"/>
      <c r="K4" s="11">
        <v>4.9549140673131333</v>
      </c>
      <c r="L4" s="26" t="s">
        <v>44</v>
      </c>
      <c r="M4" s="12"/>
      <c r="N4" s="11"/>
      <c r="O4" s="50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18.95" customHeight="1">
      <c r="B5" s="45" t="s">
        <v>20</v>
      </c>
      <c r="C5" s="51">
        <f>-$C$4*7.3*1000</f>
        <v>-930224.39999999991</v>
      </c>
      <c r="D5" s="45" t="s">
        <v>45</v>
      </c>
      <c r="E5" s="52">
        <v>0</v>
      </c>
      <c r="F5" s="53"/>
      <c r="G5" s="12"/>
      <c r="H5" s="11" t="s">
        <v>46</v>
      </c>
      <c r="I5" s="49">
        <v>0.09</v>
      </c>
      <c r="J5" s="12"/>
      <c r="K5" s="11"/>
      <c r="L5" s="13"/>
      <c r="M5" s="13"/>
      <c r="N5" s="11" t="s">
        <v>21</v>
      </c>
      <c r="O5" s="54">
        <v>0.2</v>
      </c>
      <c r="P5" s="12"/>
      <c r="Q5" s="11" t="s">
        <v>22</v>
      </c>
      <c r="R5" s="55">
        <v>0.1152</v>
      </c>
      <c r="S5" s="12"/>
      <c r="T5" s="12"/>
      <c r="U5" s="12"/>
      <c r="V5" s="12"/>
      <c r="W5" s="12"/>
      <c r="X5" s="12"/>
      <c r="Y5" s="12"/>
      <c r="Z5" s="12"/>
      <c r="AA5" s="12"/>
    </row>
    <row r="6" spans="1:27" ht="18.95" customHeight="1">
      <c r="B6" s="45" t="s">
        <v>23</v>
      </c>
      <c r="C6" s="51">
        <f>(C4*1000)*I4</f>
        <v>0</v>
      </c>
      <c r="D6" s="47"/>
      <c r="E6" s="11" t="s">
        <v>24</v>
      </c>
      <c r="F6" s="56">
        <v>0.34</v>
      </c>
      <c r="G6" s="12"/>
      <c r="H6" s="14" t="s">
        <v>25</v>
      </c>
      <c r="I6" s="57">
        <v>0.16600000000000001</v>
      </c>
      <c r="J6" s="12"/>
      <c r="K6" s="11" t="s">
        <v>26</v>
      </c>
      <c r="L6" s="51">
        <f>-$C$7</f>
        <v>930224.39999999991</v>
      </c>
      <c r="M6" s="12"/>
      <c r="N6" s="11" t="s">
        <v>27</v>
      </c>
      <c r="O6" s="55">
        <v>0.32</v>
      </c>
      <c r="P6" s="12"/>
      <c r="Q6" s="11" t="s">
        <v>28</v>
      </c>
      <c r="R6" s="55">
        <v>0.1152</v>
      </c>
      <c r="S6" s="12"/>
      <c r="T6" s="12"/>
      <c r="U6" s="12"/>
      <c r="V6" s="12"/>
      <c r="W6" s="12"/>
      <c r="X6" s="12"/>
      <c r="Y6" s="12"/>
      <c r="Z6" s="12"/>
      <c r="AA6" s="12"/>
    </row>
    <row r="7" spans="1:27" ht="26.25" customHeight="1">
      <c r="B7" s="58" t="s">
        <v>47</v>
      </c>
      <c r="C7" s="51">
        <f>$C$6+$C$5+$E$5</f>
        <v>-930224.39999999991</v>
      </c>
      <c r="D7" s="12"/>
      <c r="E7" s="11" t="s">
        <v>29</v>
      </c>
      <c r="F7" s="56">
        <v>9.5000000000000001E-2</v>
      </c>
      <c r="G7" s="12"/>
      <c r="H7" s="14" t="s">
        <v>30</v>
      </c>
      <c r="I7" s="59">
        <v>0.08</v>
      </c>
      <c r="J7" s="12"/>
      <c r="K7" s="15"/>
      <c r="M7" s="12"/>
      <c r="N7" s="11" t="s">
        <v>31</v>
      </c>
      <c r="O7" s="55">
        <v>0.192</v>
      </c>
      <c r="P7" s="12"/>
      <c r="Q7" s="11" t="s">
        <v>32</v>
      </c>
      <c r="R7" s="55">
        <v>5.7599999999999998E-2</v>
      </c>
      <c r="S7" s="12"/>
      <c r="T7" s="12"/>
      <c r="U7" s="12"/>
      <c r="V7" s="12"/>
      <c r="W7" s="12"/>
      <c r="X7" s="12"/>
      <c r="Y7" s="12"/>
      <c r="Z7" s="12"/>
      <c r="AA7" s="12"/>
    </row>
    <row r="8" spans="1:27" ht="18.95" customHeight="1">
      <c r="B8" s="45" t="s">
        <v>33</v>
      </c>
      <c r="C8" s="51">
        <f>IF(F8="no",0,C7)</f>
        <v>0</v>
      </c>
      <c r="E8" s="11" t="s">
        <v>71</v>
      </c>
      <c r="F8" s="60" t="s">
        <v>72</v>
      </c>
      <c r="G8" s="12" t="s">
        <v>34</v>
      </c>
      <c r="H8" s="14"/>
      <c r="I8" s="16"/>
      <c r="J8" s="12"/>
      <c r="K8" s="17"/>
      <c r="L8" s="13"/>
      <c r="M8" s="18"/>
      <c r="N8" s="19"/>
      <c r="O8" s="12"/>
      <c r="P8" s="12"/>
      <c r="Q8" s="12"/>
      <c r="R8" s="13"/>
      <c r="S8" s="12"/>
      <c r="T8" s="12"/>
      <c r="U8" s="12"/>
      <c r="V8" s="12"/>
      <c r="W8" s="12"/>
      <c r="X8" s="12"/>
      <c r="Y8" s="12"/>
      <c r="Z8" s="12"/>
      <c r="AA8" s="12"/>
    </row>
    <row r="9" spans="1:27" ht="7.5" customHeight="1" thickBot="1">
      <c r="B9" s="63"/>
      <c r="C9" s="64"/>
      <c r="D9" s="65"/>
      <c r="E9" s="63"/>
      <c r="F9" s="66"/>
      <c r="G9" s="65"/>
      <c r="H9" s="67"/>
      <c r="I9" s="68"/>
      <c r="J9" s="65"/>
      <c r="K9" s="63"/>
      <c r="L9" s="69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7" s="20" customFormat="1" ht="18.95" customHeight="1" thickTop="1">
      <c r="A10" s="9"/>
      <c r="B10" s="70" t="s">
        <v>48</v>
      </c>
      <c r="C10" s="71">
        <f t="shared" ref="C10:AA10" si="0">IF($F$3-C2&gt;=0,PMT($I$3/12,$F$3*12,(-$C$8)),0)</f>
        <v>0</v>
      </c>
      <c r="D10" s="71">
        <f t="shared" si="0"/>
        <v>0</v>
      </c>
      <c r="E10" s="71">
        <f t="shared" si="0"/>
        <v>0</v>
      </c>
      <c r="F10" s="71">
        <f t="shared" si="0"/>
        <v>0</v>
      </c>
      <c r="G10" s="71">
        <f t="shared" si="0"/>
        <v>0</v>
      </c>
      <c r="H10" s="71">
        <f t="shared" si="0"/>
        <v>0</v>
      </c>
      <c r="I10" s="71">
        <f t="shared" si="0"/>
        <v>0</v>
      </c>
      <c r="J10" s="71">
        <f t="shared" si="0"/>
        <v>0</v>
      </c>
      <c r="K10" s="71">
        <f t="shared" si="0"/>
        <v>0</v>
      </c>
      <c r="L10" s="71">
        <f t="shared" si="0"/>
        <v>0</v>
      </c>
      <c r="M10" s="71">
        <f t="shared" si="0"/>
        <v>0</v>
      </c>
      <c r="N10" s="71">
        <f t="shared" si="0"/>
        <v>0</v>
      </c>
      <c r="O10" s="71">
        <f t="shared" si="0"/>
        <v>0</v>
      </c>
      <c r="P10" s="71">
        <f t="shared" si="0"/>
        <v>0</v>
      </c>
      <c r="Q10" s="71">
        <f t="shared" si="0"/>
        <v>0</v>
      </c>
      <c r="R10" s="71">
        <f t="shared" si="0"/>
        <v>0</v>
      </c>
      <c r="S10" s="71">
        <f t="shared" si="0"/>
        <v>0</v>
      </c>
      <c r="T10" s="71">
        <f t="shared" si="0"/>
        <v>0</v>
      </c>
      <c r="U10" s="71">
        <f t="shared" si="0"/>
        <v>0</v>
      </c>
      <c r="V10" s="71">
        <f t="shared" si="0"/>
        <v>0</v>
      </c>
      <c r="W10" s="71">
        <f t="shared" si="0"/>
        <v>0</v>
      </c>
      <c r="X10" s="71">
        <f t="shared" si="0"/>
        <v>0</v>
      </c>
      <c r="Y10" s="71">
        <f t="shared" si="0"/>
        <v>0</v>
      </c>
      <c r="Z10" s="71">
        <f t="shared" si="0"/>
        <v>0</v>
      </c>
      <c r="AA10" s="71">
        <f t="shared" si="0"/>
        <v>0</v>
      </c>
    </row>
    <row r="11" spans="1:27" s="20" customFormat="1" ht="18.95" customHeight="1">
      <c r="A11" s="9">
        <v>1</v>
      </c>
      <c r="B11" s="72" t="s">
        <v>49</v>
      </c>
      <c r="C11" s="73">
        <f t="shared" ref="C11:AA11" si="1">C10*12</f>
        <v>0</v>
      </c>
      <c r="D11" s="51">
        <f t="shared" si="1"/>
        <v>0</v>
      </c>
      <c r="E11" s="51">
        <f t="shared" si="1"/>
        <v>0</v>
      </c>
      <c r="F11" s="51">
        <f t="shared" si="1"/>
        <v>0</v>
      </c>
      <c r="G11" s="51">
        <f t="shared" si="1"/>
        <v>0</v>
      </c>
      <c r="H11" s="51">
        <f t="shared" si="1"/>
        <v>0</v>
      </c>
      <c r="I11" s="51">
        <f t="shared" si="1"/>
        <v>0</v>
      </c>
      <c r="J11" s="51">
        <f t="shared" si="1"/>
        <v>0</v>
      </c>
      <c r="K11" s="51">
        <f t="shared" si="1"/>
        <v>0</v>
      </c>
      <c r="L11" s="51">
        <f t="shared" si="1"/>
        <v>0</v>
      </c>
      <c r="M11" s="51">
        <f t="shared" si="1"/>
        <v>0</v>
      </c>
      <c r="N11" s="51">
        <f t="shared" si="1"/>
        <v>0</v>
      </c>
      <c r="O11" s="51">
        <f t="shared" si="1"/>
        <v>0</v>
      </c>
      <c r="P11" s="51">
        <f t="shared" si="1"/>
        <v>0</v>
      </c>
      <c r="Q11" s="51">
        <f t="shared" si="1"/>
        <v>0</v>
      </c>
      <c r="R11" s="51">
        <f t="shared" si="1"/>
        <v>0</v>
      </c>
      <c r="S11" s="51">
        <f t="shared" si="1"/>
        <v>0</v>
      </c>
      <c r="T11" s="51">
        <f t="shared" si="1"/>
        <v>0</v>
      </c>
      <c r="U11" s="51">
        <f t="shared" si="1"/>
        <v>0</v>
      </c>
      <c r="V11" s="51">
        <f t="shared" si="1"/>
        <v>0</v>
      </c>
      <c r="W11" s="51">
        <f t="shared" si="1"/>
        <v>0</v>
      </c>
      <c r="X11" s="51">
        <f t="shared" si="1"/>
        <v>0</v>
      </c>
      <c r="Y11" s="51">
        <f t="shared" si="1"/>
        <v>0</v>
      </c>
      <c r="Z11" s="51">
        <f t="shared" si="1"/>
        <v>0</v>
      </c>
      <c r="AA11" s="51">
        <f t="shared" si="1"/>
        <v>0</v>
      </c>
    </row>
    <row r="12" spans="1:27" s="22" customFormat="1" ht="18.95" customHeight="1">
      <c r="A12" s="21"/>
      <c r="B12" s="74" t="s">
        <v>35</v>
      </c>
      <c r="C12" s="75">
        <f t="shared" ref="C12:AA12" si="2">IF($F$3-C2&gt;=0,-C11-PPMT($I$3,C2,$F$3,$C$8),0)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  <c r="H12" s="75">
        <f t="shared" si="2"/>
        <v>0</v>
      </c>
      <c r="I12" s="75">
        <f t="shared" si="2"/>
        <v>0</v>
      </c>
      <c r="J12" s="75">
        <f t="shared" si="2"/>
        <v>0</v>
      </c>
      <c r="K12" s="75">
        <f t="shared" si="2"/>
        <v>0</v>
      </c>
      <c r="L12" s="75">
        <f t="shared" si="2"/>
        <v>0</v>
      </c>
      <c r="M12" s="75">
        <f t="shared" si="2"/>
        <v>0</v>
      </c>
      <c r="N12" s="75">
        <f t="shared" si="2"/>
        <v>0</v>
      </c>
      <c r="O12" s="75">
        <f t="shared" si="2"/>
        <v>0</v>
      </c>
      <c r="P12" s="75">
        <f t="shared" si="2"/>
        <v>0</v>
      </c>
      <c r="Q12" s="75">
        <f t="shared" si="2"/>
        <v>0</v>
      </c>
      <c r="R12" s="75">
        <f t="shared" si="2"/>
        <v>0</v>
      </c>
      <c r="S12" s="75">
        <f t="shared" si="2"/>
        <v>0</v>
      </c>
      <c r="T12" s="75">
        <f t="shared" si="2"/>
        <v>0</v>
      </c>
      <c r="U12" s="75">
        <f t="shared" si="2"/>
        <v>0</v>
      </c>
      <c r="V12" s="75">
        <f t="shared" si="2"/>
        <v>0</v>
      </c>
      <c r="W12" s="75">
        <f t="shared" si="2"/>
        <v>0</v>
      </c>
      <c r="X12" s="75">
        <f t="shared" si="2"/>
        <v>0</v>
      </c>
      <c r="Y12" s="75">
        <f t="shared" si="2"/>
        <v>0</v>
      </c>
      <c r="Z12" s="75">
        <f t="shared" si="2"/>
        <v>0</v>
      </c>
      <c r="AA12" s="75">
        <f t="shared" si="2"/>
        <v>0</v>
      </c>
    </row>
    <row r="13" spans="1:27" s="20" customFormat="1" ht="18.95" customHeight="1">
      <c r="A13" s="9">
        <v>2</v>
      </c>
      <c r="B13" s="76" t="s">
        <v>36</v>
      </c>
      <c r="C13" s="77">
        <f t="shared" ref="C13:AA13" si="3">($F$6+$F$7)*C12</f>
        <v>0</v>
      </c>
      <c r="D13" s="77">
        <f t="shared" si="3"/>
        <v>0</v>
      </c>
      <c r="E13" s="77">
        <f t="shared" si="3"/>
        <v>0</v>
      </c>
      <c r="F13" s="77">
        <f t="shared" si="3"/>
        <v>0</v>
      </c>
      <c r="G13" s="77">
        <f t="shared" si="3"/>
        <v>0</v>
      </c>
      <c r="H13" s="77">
        <f t="shared" si="3"/>
        <v>0</v>
      </c>
      <c r="I13" s="77">
        <f t="shared" si="3"/>
        <v>0</v>
      </c>
      <c r="J13" s="77">
        <f t="shared" si="3"/>
        <v>0</v>
      </c>
      <c r="K13" s="77">
        <f t="shared" si="3"/>
        <v>0</v>
      </c>
      <c r="L13" s="77">
        <f t="shared" si="3"/>
        <v>0</v>
      </c>
      <c r="M13" s="77">
        <f t="shared" si="3"/>
        <v>0</v>
      </c>
      <c r="N13" s="77">
        <f t="shared" si="3"/>
        <v>0</v>
      </c>
      <c r="O13" s="77">
        <f t="shared" si="3"/>
        <v>0</v>
      </c>
      <c r="P13" s="77">
        <f t="shared" si="3"/>
        <v>0</v>
      </c>
      <c r="Q13" s="77">
        <f t="shared" si="3"/>
        <v>0</v>
      </c>
      <c r="R13" s="77">
        <f t="shared" si="3"/>
        <v>0</v>
      </c>
      <c r="S13" s="77">
        <f t="shared" si="3"/>
        <v>0</v>
      </c>
      <c r="T13" s="77">
        <f t="shared" si="3"/>
        <v>0</v>
      </c>
      <c r="U13" s="77">
        <f t="shared" si="3"/>
        <v>0</v>
      </c>
      <c r="V13" s="77">
        <f t="shared" si="3"/>
        <v>0</v>
      </c>
      <c r="W13" s="77">
        <f t="shared" si="3"/>
        <v>0</v>
      </c>
      <c r="X13" s="77">
        <f t="shared" si="3"/>
        <v>0</v>
      </c>
      <c r="Y13" s="77">
        <f t="shared" si="3"/>
        <v>0</v>
      </c>
      <c r="Z13" s="77">
        <f t="shared" si="3"/>
        <v>0</v>
      </c>
      <c r="AA13" s="77">
        <f t="shared" si="3"/>
        <v>0</v>
      </c>
    </row>
    <row r="14" spans="1:27" s="20" customFormat="1" ht="18.95" customHeight="1">
      <c r="A14" s="9">
        <v>3</v>
      </c>
      <c r="B14" s="72" t="s">
        <v>37</v>
      </c>
      <c r="C14" s="78">
        <f>-C7*0.3</f>
        <v>279067.31999999995</v>
      </c>
      <c r="D14" s="79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</row>
    <row r="15" spans="1:27" s="20" customFormat="1" ht="18.95" customHeight="1">
      <c r="A15" s="9">
        <v>4</v>
      </c>
      <c r="B15" s="72" t="s">
        <v>50</v>
      </c>
      <c r="C15" s="80">
        <f>$C$4*365*$K$4*$I$5</f>
        <v>20741.318843930636</v>
      </c>
      <c r="D15" s="81">
        <f>$C$4*365*$K$4*$I$5</f>
        <v>20741.318843930636</v>
      </c>
      <c r="E15" s="81">
        <f>$C$4*365*$K$4*$I$5</f>
        <v>20741.318843930636</v>
      </c>
      <c r="F15" s="81">
        <f>$C$4*365*$K$4*$I$5</f>
        <v>20741.318843930636</v>
      </c>
      <c r="G15" s="81">
        <f>$C$4*365*$K$4*$I$5</f>
        <v>20741.318843930636</v>
      </c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</row>
    <row r="16" spans="1:27" s="20" customFormat="1" ht="18.95" customHeight="1">
      <c r="A16" s="9">
        <v>5</v>
      </c>
      <c r="B16" s="72" t="s">
        <v>51</v>
      </c>
      <c r="C16" s="82">
        <v>0</v>
      </c>
      <c r="D16" s="73">
        <v>0</v>
      </c>
      <c r="E16" s="73">
        <v>0</v>
      </c>
      <c r="F16" s="73">
        <v>0</v>
      </c>
      <c r="G16" s="73">
        <v>0</v>
      </c>
      <c r="H16" s="73"/>
      <c r="I16" s="73"/>
      <c r="J16" s="73"/>
      <c r="K16" s="73"/>
      <c r="L16" s="73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</row>
    <row r="17" spans="1:27" s="20" customFormat="1" ht="18.95" customHeight="1">
      <c r="A17" s="9">
        <v>6</v>
      </c>
      <c r="B17" s="72" t="s">
        <v>52</v>
      </c>
      <c r="C17" s="82">
        <f>-C16*$F$6</f>
        <v>0</v>
      </c>
      <c r="D17" s="81">
        <f>-D16*$F$6</f>
        <v>0</v>
      </c>
      <c r="E17" s="81">
        <f>-E16*$F$6</f>
        <v>0</v>
      </c>
      <c r="F17" s="81">
        <f>-F16*$F$6</f>
        <v>0</v>
      </c>
      <c r="G17" s="81">
        <f>-G16*$F$6</f>
        <v>0</v>
      </c>
      <c r="H17" s="73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</row>
    <row r="18" spans="1:27" s="20" customFormat="1" ht="18.95" customHeight="1">
      <c r="A18" s="9">
        <v>7</v>
      </c>
      <c r="B18" s="72" t="s">
        <v>53</v>
      </c>
      <c r="C18" s="82">
        <f>-C16*$F$7</f>
        <v>0</v>
      </c>
      <c r="D18" s="81">
        <f>-D16*$F$7</f>
        <v>0</v>
      </c>
      <c r="E18" s="81">
        <f>-E16*$F$7</f>
        <v>0</v>
      </c>
      <c r="F18" s="81">
        <f>-F16*$F$7</f>
        <v>0</v>
      </c>
      <c r="G18" s="81">
        <f>-G16*$F$7</f>
        <v>0</v>
      </c>
      <c r="H18" s="73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</row>
    <row r="19" spans="1:27" s="20" customFormat="1" ht="18.95" customHeight="1">
      <c r="A19" s="9">
        <v>8</v>
      </c>
      <c r="B19" s="72" t="s">
        <v>38</v>
      </c>
      <c r="C19" s="73">
        <f>$O$3*$O$5*$F$6</f>
        <v>60092.496239999993</v>
      </c>
      <c r="D19" s="73">
        <f>$O$3*$O$6*$F$6</f>
        <v>96147.993984000001</v>
      </c>
      <c r="E19" s="73">
        <f>$O$3*$O$7*$F$6</f>
        <v>57688.796390399999</v>
      </c>
      <c r="F19" s="73">
        <f>$O$3*$R$5*$F$6</f>
        <v>34613.277834239991</v>
      </c>
      <c r="G19" s="73">
        <f>$O$3*$R$6*$F$6</f>
        <v>34613.277834239991</v>
      </c>
      <c r="H19" s="73">
        <f>$O$3*$R$7*$F$6</f>
        <v>17306.638917119995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</row>
    <row r="20" spans="1:27" s="20" customFormat="1" ht="18.95" customHeight="1">
      <c r="A20" s="9">
        <v>9</v>
      </c>
      <c r="B20" s="72" t="s">
        <v>39</v>
      </c>
      <c r="C20" s="73">
        <f t="shared" ref="C20:N20" si="4">($L$6)/12*$F$7</f>
        <v>7364.2764999999999</v>
      </c>
      <c r="D20" s="73">
        <f t="shared" si="4"/>
        <v>7364.2764999999999</v>
      </c>
      <c r="E20" s="73">
        <f t="shared" si="4"/>
        <v>7364.2764999999999</v>
      </c>
      <c r="F20" s="73">
        <f t="shared" si="4"/>
        <v>7364.2764999999999</v>
      </c>
      <c r="G20" s="73">
        <f t="shared" si="4"/>
        <v>7364.2764999999999</v>
      </c>
      <c r="H20" s="73">
        <f t="shared" si="4"/>
        <v>7364.2764999999999</v>
      </c>
      <c r="I20" s="73">
        <f t="shared" si="4"/>
        <v>7364.2764999999999</v>
      </c>
      <c r="J20" s="73">
        <f t="shared" si="4"/>
        <v>7364.2764999999999</v>
      </c>
      <c r="K20" s="73">
        <f t="shared" si="4"/>
        <v>7364.2764999999999</v>
      </c>
      <c r="L20" s="73">
        <f t="shared" si="4"/>
        <v>7364.2764999999999</v>
      </c>
      <c r="M20" s="73">
        <f t="shared" si="4"/>
        <v>7364.2764999999999</v>
      </c>
      <c r="N20" s="73">
        <f t="shared" si="4"/>
        <v>7364.2764999999999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</row>
    <row r="21" spans="1:27" s="20" customFormat="1" ht="18.95" customHeight="1">
      <c r="A21" s="9">
        <v>10</v>
      </c>
      <c r="B21" s="72" t="s">
        <v>52</v>
      </c>
      <c r="C21" s="82">
        <f t="shared" ref="C21:AA21" si="5">-C20*$F$7</f>
        <v>-699.60626750000006</v>
      </c>
      <c r="D21" s="82">
        <f t="shared" si="5"/>
        <v>-699.60626750000006</v>
      </c>
      <c r="E21" s="82">
        <f t="shared" si="5"/>
        <v>-699.60626750000006</v>
      </c>
      <c r="F21" s="82">
        <f t="shared" si="5"/>
        <v>-699.60626750000006</v>
      </c>
      <c r="G21" s="82">
        <f t="shared" si="5"/>
        <v>-699.60626750000006</v>
      </c>
      <c r="H21" s="82">
        <f t="shared" si="5"/>
        <v>-699.60626750000006</v>
      </c>
      <c r="I21" s="82">
        <f t="shared" si="5"/>
        <v>-699.60626750000006</v>
      </c>
      <c r="J21" s="82">
        <f t="shared" si="5"/>
        <v>-699.60626750000006</v>
      </c>
      <c r="K21" s="82">
        <f t="shared" si="5"/>
        <v>-699.60626750000006</v>
      </c>
      <c r="L21" s="82">
        <f t="shared" si="5"/>
        <v>-699.60626750000006</v>
      </c>
      <c r="M21" s="82">
        <f t="shared" si="5"/>
        <v>-699.60626750000006</v>
      </c>
      <c r="N21" s="82">
        <f t="shared" si="5"/>
        <v>-699.60626750000006</v>
      </c>
      <c r="O21" s="82">
        <f t="shared" si="5"/>
        <v>0</v>
      </c>
      <c r="P21" s="82">
        <f t="shared" si="5"/>
        <v>0</v>
      </c>
      <c r="Q21" s="82">
        <f t="shared" si="5"/>
        <v>0</v>
      </c>
      <c r="R21" s="82">
        <f t="shared" si="5"/>
        <v>0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82">
        <f t="shared" si="5"/>
        <v>0</v>
      </c>
      <c r="W21" s="82">
        <f t="shared" si="5"/>
        <v>0</v>
      </c>
      <c r="X21" s="82">
        <f t="shared" si="5"/>
        <v>0</v>
      </c>
      <c r="Y21" s="82">
        <f t="shared" si="5"/>
        <v>0</v>
      </c>
      <c r="Z21" s="82">
        <f t="shared" si="5"/>
        <v>0</v>
      </c>
      <c r="AA21" s="82">
        <f t="shared" si="5"/>
        <v>0</v>
      </c>
    </row>
    <row r="22" spans="1:27" s="23" customFormat="1" ht="18.95" customHeight="1">
      <c r="B22" s="83" t="s">
        <v>40</v>
      </c>
      <c r="C22" s="84">
        <f>I6</f>
        <v>0.16600000000000001</v>
      </c>
      <c r="D22" s="84">
        <f t="shared" ref="D22:AA22" si="6">C22*(1+$I7)</f>
        <v>0.17928000000000002</v>
      </c>
      <c r="E22" s="84">
        <f t="shared" si="6"/>
        <v>0.19362240000000003</v>
      </c>
      <c r="F22" s="84">
        <f t="shared" si="6"/>
        <v>0.20911219200000003</v>
      </c>
      <c r="G22" s="84">
        <f t="shared" si="6"/>
        <v>0.22584116736000004</v>
      </c>
      <c r="H22" s="84">
        <f t="shared" si="6"/>
        <v>0.24390846074880007</v>
      </c>
      <c r="I22" s="84">
        <f t="shared" si="6"/>
        <v>0.26342113760870411</v>
      </c>
      <c r="J22" s="84">
        <f t="shared" si="6"/>
        <v>0.28449482861740044</v>
      </c>
      <c r="K22" s="84">
        <f t="shared" si="6"/>
        <v>0.30725441490679251</v>
      </c>
      <c r="L22" s="84">
        <f t="shared" si="6"/>
        <v>0.33183476809933593</v>
      </c>
      <c r="M22" s="84">
        <f t="shared" si="6"/>
        <v>0.35838154954728285</v>
      </c>
      <c r="N22" s="84">
        <f t="shared" si="6"/>
        <v>0.38705207351106552</v>
      </c>
      <c r="O22" s="84">
        <f t="shared" si="6"/>
        <v>0.41801623939195076</v>
      </c>
      <c r="P22" s="84">
        <f t="shared" si="6"/>
        <v>0.45145753854330684</v>
      </c>
      <c r="Q22" s="84">
        <f t="shared" si="6"/>
        <v>0.48757414162677143</v>
      </c>
      <c r="R22" s="84">
        <f t="shared" si="6"/>
        <v>0.52658007295691323</v>
      </c>
      <c r="S22" s="84">
        <f t="shared" si="6"/>
        <v>0.56870647879346636</v>
      </c>
      <c r="T22" s="84">
        <f t="shared" si="6"/>
        <v>0.6142029970969437</v>
      </c>
      <c r="U22" s="84">
        <f t="shared" si="6"/>
        <v>0.6633392368646992</v>
      </c>
      <c r="V22" s="84">
        <f t="shared" si="6"/>
        <v>0.71640637581387523</v>
      </c>
      <c r="W22" s="84">
        <f t="shared" si="6"/>
        <v>0.7737188858789853</v>
      </c>
      <c r="X22" s="84">
        <f t="shared" si="6"/>
        <v>0.83561639674930421</v>
      </c>
      <c r="Y22" s="84">
        <f t="shared" si="6"/>
        <v>0.90246570848924856</v>
      </c>
      <c r="Z22" s="84">
        <f t="shared" si="6"/>
        <v>0.97466296516838846</v>
      </c>
      <c r="AA22" s="84">
        <f t="shared" si="6"/>
        <v>1.0526360023818595</v>
      </c>
    </row>
    <row r="23" spans="1:27" s="20" customFormat="1" ht="18.95" customHeight="1">
      <c r="A23" s="9">
        <v>11</v>
      </c>
      <c r="B23" s="72" t="s">
        <v>54</v>
      </c>
      <c r="C23" s="73">
        <f>$C$4*K4*365*C22</f>
        <v>38256.210312138734</v>
      </c>
      <c r="D23" s="73">
        <f t="shared" ref="D23:AA23" si="7">$C$4*5.7*365*D22</f>
        <v>47529.629673120013</v>
      </c>
      <c r="E23" s="73">
        <f t="shared" si="7"/>
        <v>51332.00004696961</v>
      </c>
      <c r="F23" s="73">
        <f t="shared" si="7"/>
        <v>55438.560050727181</v>
      </c>
      <c r="G23" s="73">
        <f t="shared" si="7"/>
        <v>59873.644854785358</v>
      </c>
      <c r="H23" s="73">
        <f t="shared" si="7"/>
        <v>64663.536443168196</v>
      </c>
      <c r="I23" s="73">
        <f t="shared" si="7"/>
        <v>69836.619358621654</v>
      </c>
      <c r="J23" s="73">
        <f t="shared" si="7"/>
        <v>75423.548907311386</v>
      </c>
      <c r="K23" s="73">
        <f t="shared" si="7"/>
        <v>81457.432819896305</v>
      </c>
      <c r="L23" s="73">
        <f t="shared" si="7"/>
        <v>87974.027445488027</v>
      </c>
      <c r="M23" s="73">
        <f t="shared" si="7"/>
        <v>95011.949641127081</v>
      </c>
      <c r="N23" s="73">
        <f t="shared" si="7"/>
        <v>102612.90561241725</v>
      </c>
      <c r="O23" s="73">
        <f t="shared" si="7"/>
        <v>110821.93806141063</v>
      </c>
      <c r="P23" s="73">
        <f t="shared" si="7"/>
        <v>119687.69310632348</v>
      </c>
      <c r="Q23" s="73">
        <f t="shared" si="7"/>
        <v>129262.70855482938</v>
      </c>
      <c r="R23" s="73">
        <f t="shared" si="7"/>
        <v>139603.72523921574</v>
      </c>
      <c r="S23" s="73">
        <f t="shared" si="7"/>
        <v>150772.02325835303</v>
      </c>
      <c r="T23" s="73">
        <f t="shared" si="7"/>
        <v>162833.78511902128</v>
      </c>
      <c r="U23" s="73">
        <f t="shared" si="7"/>
        <v>175860.48792854298</v>
      </c>
      <c r="V23" s="73">
        <f t="shared" si="7"/>
        <v>189929.32696282645</v>
      </c>
      <c r="W23" s="73">
        <f t="shared" si="7"/>
        <v>205123.67311985258</v>
      </c>
      <c r="X23" s="73">
        <f t="shared" si="7"/>
        <v>221533.56696944081</v>
      </c>
      <c r="Y23" s="73">
        <f t="shared" si="7"/>
        <v>239256.25232699607</v>
      </c>
      <c r="Z23" s="73">
        <f t="shared" si="7"/>
        <v>258396.75251315578</v>
      </c>
      <c r="AA23" s="73">
        <f t="shared" si="7"/>
        <v>279068.4927142082</v>
      </c>
    </row>
    <row r="24" spans="1:27" s="20" customFormat="1" ht="18.95" customHeight="1">
      <c r="A24" s="9">
        <v>12</v>
      </c>
      <c r="B24" s="72" t="s">
        <v>53</v>
      </c>
      <c r="C24" s="82">
        <f t="shared" ref="C24:AA24" si="8">-C23*$F$7</f>
        <v>-3634.3399796531799</v>
      </c>
      <c r="D24" s="82">
        <f t="shared" si="8"/>
        <v>-4515.3148189464009</v>
      </c>
      <c r="E24" s="82">
        <f t="shared" si="8"/>
        <v>-4876.5400044621128</v>
      </c>
      <c r="F24" s="82">
        <f t="shared" si="8"/>
        <v>-5266.6632048190822</v>
      </c>
      <c r="G24" s="82">
        <f t="shared" si="8"/>
        <v>-5687.9962612046093</v>
      </c>
      <c r="H24" s="82">
        <f t="shared" si="8"/>
        <v>-6143.0359621009784</v>
      </c>
      <c r="I24" s="82">
        <f t="shared" si="8"/>
        <v>-6634.4788390690574</v>
      </c>
      <c r="J24" s="82">
        <f t="shared" si="8"/>
        <v>-7165.2371461945813</v>
      </c>
      <c r="K24" s="82">
        <f t="shared" si="8"/>
        <v>-7738.4561178901495</v>
      </c>
      <c r="L24" s="82">
        <f t="shared" si="8"/>
        <v>-8357.5326073213619</v>
      </c>
      <c r="M24" s="82">
        <f t="shared" si="8"/>
        <v>-9026.1352159070721</v>
      </c>
      <c r="N24" s="82">
        <f t="shared" si="8"/>
        <v>-9748.2260331796388</v>
      </c>
      <c r="O24" s="82">
        <f t="shared" si="8"/>
        <v>-10528.08411583401</v>
      </c>
      <c r="P24" s="82">
        <f t="shared" si="8"/>
        <v>-11370.330845100731</v>
      </c>
      <c r="Q24" s="82">
        <f t="shared" si="8"/>
        <v>-12279.957312708792</v>
      </c>
      <c r="R24" s="82">
        <f t="shared" si="8"/>
        <v>-13262.353897725496</v>
      </c>
      <c r="S24" s="82">
        <f t="shared" si="8"/>
        <v>-14323.342209543538</v>
      </c>
      <c r="T24" s="82">
        <f t="shared" si="8"/>
        <v>-15469.209586307023</v>
      </c>
      <c r="U24" s="82">
        <f t="shared" si="8"/>
        <v>-16706.746353211583</v>
      </c>
      <c r="V24" s="82">
        <f t="shared" si="8"/>
        <v>-18043.286061468512</v>
      </c>
      <c r="W24" s="82">
        <f t="shared" si="8"/>
        <v>-19486.748946385997</v>
      </c>
      <c r="X24" s="82">
        <f t="shared" si="8"/>
        <v>-21045.688862096878</v>
      </c>
      <c r="Y24" s="82">
        <f t="shared" si="8"/>
        <v>-22729.343971064627</v>
      </c>
      <c r="Z24" s="82">
        <f t="shared" si="8"/>
        <v>-24547.691488749799</v>
      </c>
      <c r="AA24" s="82">
        <f t="shared" si="8"/>
        <v>-26511.506807849779</v>
      </c>
    </row>
    <row r="25" spans="1:27" s="20" customFormat="1" ht="18.95" customHeight="1" thickBot="1">
      <c r="A25" s="9">
        <v>13</v>
      </c>
      <c r="B25" s="85" t="s">
        <v>52</v>
      </c>
      <c r="C25" s="86">
        <f t="shared" ref="C25:AA25" si="9">-C23*$F$6+-C24*$F$6</f>
        <v>-11771.435913045088</v>
      </c>
      <c r="D25" s="86">
        <f t="shared" si="9"/>
        <v>-14624.867050419029</v>
      </c>
      <c r="E25" s="86">
        <f t="shared" si="9"/>
        <v>-15794.856414452552</v>
      </c>
      <c r="F25" s="86">
        <f t="shared" si="9"/>
        <v>-17058.444927608754</v>
      </c>
      <c r="G25" s="86">
        <f t="shared" si="9"/>
        <v>-18423.120521817455</v>
      </c>
      <c r="H25" s="86">
        <f t="shared" si="9"/>
        <v>-19896.970163562855</v>
      </c>
      <c r="I25" s="86">
        <f t="shared" si="9"/>
        <v>-21488.727776647884</v>
      </c>
      <c r="J25" s="86">
        <f t="shared" si="9"/>
        <v>-23207.825998779714</v>
      </c>
      <c r="K25" s="86">
        <f t="shared" si="9"/>
        <v>-25064.452078682094</v>
      </c>
      <c r="L25" s="86">
        <f t="shared" si="9"/>
        <v>-27069.608244976669</v>
      </c>
      <c r="M25" s="86">
        <f t="shared" si="9"/>
        <v>-29235.176904574808</v>
      </c>
      <c r="N25" s="86">
        <f t="shared" si="9"/>
        <v>-31573.991056940791</v>
      </c>
      <c r="O25" s="86">
        <f t="shared" si="9"/>
        <v>-34099.910341496055</v>
      </c>
      <c r="P25" s="86">
        <f t="shared" si="9"/>
        <v>-36827.903168815734</v>
      </c>
      <c r="Q25" s="86">
        <f t="shared" si="9"/>
        <v>-39774.135422321007</v>
      </c>
      <c r="R25" s="86">
        <f t="shared" si="9"/>
        <v>-42956.066256106686</v>
      </c>
      <c r="S25" s="86">
        <f t="shared" si="9"/>
        <v>-46392.55155659523</v>
      </c>
      <c r="T25" s="86">
        <f t="shared" si="9"/>
        <v>-50103.955681122854</v>
      </c>
      <c r="U25" s="86">
        <f t="shared" si="9"/>
        <v>-54112.272135612679</v>
      </c>
      <c r="V25" s="86">
        <f t="shared" si="9"/>
        <v>-58441.253906461701</v>
      </c>
      <c r="W25" s="86">
        <f t="shared" si="9"/>
        <v>-63116.554218978643</v>
      </c>
      <c r="X25" s="86">
        <f t="shared" si="9"/>
        <v>-68165.878556496944</v>
      </c>
      <c r="Y25" s="86">
        <f t="shared" si="9"/>
        <v>-73619.148841016693</v>
      </c>
      <c r="Z25" s="86">
        <f t="shared" si="9"/>
        <v>-79508.680748298037</v>
      </c>
      <c r="AA25" s="86">
        <f t="shared" si="9"/>
        <v>-85869.375208161873</v>
      </c>
    </row>
    <row r="26" spans="1:27" s="20" customFormat="1" ht="28.5" customHeight="1" thickTop="1" thickBot="1">
      <c r="A26" s="9">
        <v>14</v>
      </c>
      <c r="B26" s="87" t="s">
        <v>41</v>
      </c>
      <c r="C26" s="88">
        <f>IF(C8=0,SUM(C7,C13:C21,C23:C25),SUM(C11,C13:C21,C23:C25))</f>
        <v>-540808.1602641287</v>
      </c>
      <c r="D26" s="88">
        <f t="shared" ref="D26:AA26" si="10">SUM(D11,D13:D21,D23:D25)</f>
        <v>151943.43086418521</v>
      </c>
      <c r="E26" s="88">
        <f t="shared" si="10"/>
        <v>115755.38909488556</v>
      </c>
      <c r="F26" s="88">
        <f t="shared" si="10"/>
        <v>95132.71882896997</v>
      </c>
      <c r="G26" s="88">
        <f t="shared" si="10"/>
        <v>97781.794982433916</v>
      </c>
      <c r="H26" s="88">
        <f t="shared" si="10"/>
        <v>62594.839467124344</v>
      </c>
      <c r="I26" s="88">
        <f t="shared" si="10"/>
        <v>48378.082975404715</v>
      </c>
      <c r="J26" s="88">
        <f t="shared" si="10"/>
        <v>51715.155994837078</v>
      </c>
      <c r="K26" s="88">
        <f t="shared" si="10"/>
        <v>55319.194855824055</v>
      </c>
      <c r="L26" s="88">
        <f t="shared" si="10"/>
        <v>59211.556825689986</v>
      </c>
      <c r="M26" s="88">
        <f t="shared" si="10"/>
        <v>63415.3077531452</v>
      </c>
      <c r="N26" s="88">
        <f t="shared" si="10"/>
        <v>67955.358754796805</v>
      </c>
      <c r="O26" s="88">
        <f t="shared" si="10"/>
        <v>66193.943604080574</v>
      </c>
      <c r="P26" s="88">
        <f t="shared" si="10"/>
        <v>71489.459092407022</v>
      </c>
      <c r="Q26" s="88">
        <f t="shared" si="10"/>
        <v>77208.615819799583</v>
      </c>
      <c r="R26" s="88">
        <f t="shared" si="10"/>
        <v>83385.305085383559</v>
      </c>
      <c r="S26" s="88">
        <f t="shared" si="10"/>
        <v>90056.12949221427</v>
      </c>
      <c r="T26" s="88">
        <f t="shared" si="10"/>
        <v>97260.6198515914</v>
      </c>
      <c r="U26" s="88">
        <f t="shared" si="10"/>
        <v>105041.46943971873</v>
      </c>
      <c r="V26" s="88">
        <f t="shared" si="10"/>
        <v>113444.78699489625</v>
      </c>
      <c r="W26" s="88">
        <f t="shared" si="10"/>
        <v>122520.36995448792</v>
      </c>
      <c r="X26" s="88">
        <f t="shared" si="10"/>
        <v>132321.99955084699</v>
      </c>
      <c r="Y26" s="88">
        <f t="shared" si="10"/>
        <v>142907.75951491474</v>
      </c>
      <c r="Z26" s="88">
        <f t="shared" si="10"/>
        <v>154340.38027610796</v>
      </c>
      <c r="AA26" s="88">
        <f t="shared" si="10"/>
        <v>166687.61069819657</v>
      </c>
    </row>
    <row r="27" spans="1:27" s="20" customFormat="1" ht="44.25" customHeight="1" thickBot="1">
      <c r="A27" s="9">
        <v>15</v>
      </c>
      <c r="B27" s="89" t="s">
        <v>42</v>
      </c>
      <c r="C27" s="90">
        <f>C26</f>
        <v>-540808.1602641287</v>
      </c>
      <c r="D27" s="90">
        <f t="shared" ref="D27:AA27" si="11">C27+D26</f>
        <v>-388864.72939994349</v>
      </c>
      <c r="E27" s="90">
        <f t="shared" si="11"/>
        <v>-273109.34030505794</v>
      </c>
      <c r="F27" s="90">
        <f t="shared" si="11"/>
        <v>-177976.62147608795</v>
      </c>
      <c r="G27" s="90">
        <f t="shared" si="11"/>
        <v>-80194.826493654036</v>
      </c>
      <c r="H27" s="90">
        <f t="shared" si="11"/>
        <v>-17599.987026529692</v>
      </c>
      <c r="I27" s="90">
        <f t="shared" si="11"/>
        <v>30778.095948875023</v>
      </c>
      <c r="J27" s="90">
        <f t="shared" si="11"/>
        <v>82493.251943712094</v>
      </c>
      <c r="K27" s="90">
        <f t="shared" si="11"/>
        <v>137812.44679953615</v>
      </c>
      <c r="L27" s="90">
        <f t="shared" si="11"/>
        <v>197024.00362522615</v>
      </c>
      <c r="M27" s="90">
        <f t="shared" si="11"/>
        <v>260439.31137837135</v>
      </c>
      <c r="N27" s="90">
        <f t="shared" si="11"/>
        <v>328394.67013316817</v>
      </c>
      <c r="O27" s="90">
        <f t="shared" si="11"/>
        <v>394588.61373724876</v>
      </c>
      <c r="P27" s="90">
        <f t="shared" si="11"/>
        <v>466078.07282965578</v>
      </c>
      <c r="Q27" s="90">
        <f t="shared" si="11"/>
        <v>543286.68864945532</v>
      </c>
      <c r="R27" s="90">
        <f t="shared" si="11"/>
        <v>626671.99373483891</v>
      </c>
      <c r="S27" s="90">
        <f t="shared" si="11"/>
        <v>716728.12322705321</v>
      </c>
      <c r="T27" s="90">
        <f t="shared" si="11"/>
        <v>813988.74307864462</v>
      </c>
      <c r="U27" s="90">
        <f t="shared" si="11"/>
        <v>919030.21251836338</v>
      </c>
      <c r="V27" s="90">
        <f t="shared" si="11"/>
        <v>1032474.9995132596</v>
      </c>
      <c r="W27" s="90">
        <f t="shared" si="11"/>
        <v>1154995.3694677476</v>
      </c>
      <c r="X27" s="90">
        <f t="shared" si="11"/>
        <v>1287317.3690185947</v>
      </c>
      <c r="Y27" s="90">
        <f t="shared" si="11"/>
        <v>1430225.1285335096</v>
      </c>
      <c r="Z27" s="90">
        <f t="shared" si="11"/>
        <v>1584565.5088096175</v>
      </c>
      <c r="AA27" s="90">
        <f t="shared" si="11"/>
        <v>1751253.1195078141</v>
      </c>
    </row>
    <row r="28" spans="1:27" ht="24" customHeight="1">
      <c r="B28" s="27" t="s">
        <v>55</v>
      </c>
      <c r="D28" s="28"/>
      <c r="E28" s="24"/>
      <c r="F28" s="24"/>
      <c r="G28" s="24"/>
    </row>
    <row r="29" spans="1:27" ht="24" customHeight="1">
      <c r="B29" s="29" t="s">
        <v>56</v>
      </c>
      <c r="C29" s="30" t="s">
        <v>57</v>
      </c>
      <c r="D29" s="28"/>
      <c r="E29" s="24"/>
      <c r="F29" s="24"/>
      <c r="G29" s="24"/>
    </row>
    <row r="30" spans="1:27" ht="24" customHeight="1">
      <c r="B30" s="29" t="s">
        <v>58</v>
      </c>
      <c r="C30" s="30" t="s">
        <v>59</v>
      </c>
    </row>
    <row r="31" spans="1:27" ht="24" customHeight="1">
      <c r="B31" s="29" t="s">
        <v>60</v>
      </c>
      <c r="C31" s="30" t="s">
        <v>61</v>
      </c>
    </row>
    <row r="32" spans="1:27" ht="24" customHeight="1">
      <c r="B32" s="29" t="s">
        <v>62</v>
      </c>
      <c r="C32" s="30" t="s">
        <v>63</v>
      </c>
    </row>
    <row r="33" spans="2:5" ht="24" customHeight="1">
      <c r="B33" s="29" t="s">
        <v>64</v>
      </c>
      <c r="C33" s="30" t="s">
        <v>65</v>
      </c>
    </row>
    <row r="34" spans="2:5" ht="24" customHeight="1">
      <c r="B34" s="29" t="s">
        <v>66</v>
      </c>
      <c r="C34" s="30" t="s">
        <v>67</v>
      </c>
      <c r="E34" s="25"/>
    </row>
    <row r="35" spans="2:5" ht="24" customHeight="1">
      <c r="B35" s="29" t="s">
        <v>68</v>
      </c>
      <c r="C35" s="30" t="s">
        <v>69</v>
      </c>
    </row>
    <row r="36" spans="2:5" ht="24" customHeight="1">
      <c r="B36" s="31"/>
      <c r="C36" s="32" t="s">
        <v>70</v>
      </c>
    </row>
    <row r="37" spans="2:5" ht="24" customHeight="1"/>
    <row r="38" spans="2:5" ht="24" customHeight="1"/>
    <row r="39" spans="2:5" ht="24" customHeight="1"/>
    <row r="40" spans="2:5" ht="24" customHeight="1"/>
    <row r="41" spans="2:5" ht="24" customHeight="1"/>
    <row r="42" spans="2:5" ht="24" customHeight="1"/>
    <row r="43" spans="2:5" ht="24" customHeight="1"/>
    <row r="44" spans="2:5" ht="24" customHeight="1"/>
  </sheetData>
  <phoneticPr fontId="0" type="noConversion"/>
  <pageMargins left="0.25" right="0.47" top="1" bottom="0.5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4"/>
  <sheetViews>
    <sheetView showGridLines="0" tabSelected="1" workbookViewId="0">
      <selection activeCell="E1" sqref="E1"/>
    </sheetView>
  </sheetViews>
  <sheetFormatPr defaultColWidth="11.7109375" defaultRowHeight="11.25"/>
  <cols>
    <col min="1" max="1" width="2.85546875" style="9" customWidth="1"/>
    <col min="2" max="2" width="17" style="10" customWidth="1"/>
    <col min="3" max="3" width="13.7109375" style="24" customWidth="1"/>
    <col min="4" max="4" width="11.7109375" style="10"/>
    <col min="5" max="5" width="18" style="10" bestFit="1" customWidth="1"/>
    <col min="6" max="16384" width="11.7109375" style="10"/>
  </cols>
  <sheetData>
    <row r="1" spans="1:27" s="6" customFormat="1" ht="26.25" customHeight="1">
      <c r="A1" s="5"/>
      <c r="B1" s="6" t="s">
        <v>78</v>
      </c>
      <c r="C1" s="7"/>
      <c r="F1" s="8"/>
    </row>
    <row r="2" spans="1:27" ht="18.95" customHeight="1" thickBot="1">
      <c r="B2" s="33" t="s">
        <v>14</v>
      </c>
      <c r="C2" s="34">
        <v>1</v>
      </c>
      <c r="D2" s="35">
        <v>2</v>
      </c>
      <c r="E2" s="35">
        <v>3</v>
      </c>
      <c r="F2" s="36">
        <v>4</v>
      </c>
      <c r="G2" s="35">
        <v>5</v>
      </c>
      <c r="H2" s="35">
        <v>6</v>
      </c>
      <c r="I2" s="35">
        <v>7</v>
      </c>
      <c r="J2" s="35">
        <v>8</v>
      </c>
      <c r="K2" s="35">
        <v>9</v>
      </c>
      <c r="L2" s="35">
        <v>10</v>
      </c>
      <c r="M2" s="35">
        <v>11</v>
      </c>
      <c r="N2" s="35">
        <v>12</v>
      </c>
      <c r="O2" s="35">
        <v>13</v>
      </c>
      <c r="P2" s="35">
        <v>14</v>
      </c>
      <c r="Q2" s="35">
        <v>15</v>
      </c>
      <c r="R2" s="35">
        <v>16</v>
      </c>
      <c r="S2" s="35">
        <v>17</v>
      </c>
      <c r="T2" s="35">
        <v>18</v>
      </c>
      <c r="U2" s="35">
        <v>19</v>
      </c>
      <c r="V2" s="35">
        <v>20</v>
      </c>
      <c r="W2" s="35">
        <v>21</v>
      </c>
      <c r="X2" s="35">
        <v>22</v>
      </c>
      <c r="Y2" s="35">
        <v>23</v>
      </c>
      <c r="Z2" s="35">
        <v>24</v>
      </c>
      <c r="AA2" s="35">
        <v>25</v>
      </c>
    </row>
    <row r="3" spans="1:27" ht="18.95" customHeight="1" thickTop="1">
      <c r="B3" s="37" t="s">
        <v>15</v>
      </c>
      <c r="C3" s="38">
        <v>148</v>
      </c>
      <c r="D3" s="39"/>
      <c r="E3" s="40" t="s">
        <v>16</v>
      </c>
      <c r="F3" s="41">
        <v>10</v>
      </c>
      <c r="G3" s="42"/>
      <c r="H3" s="40" t="s">
        <v>17</v>
      </c>
      <c r="I3" s="43">
        <v>0.05</v>
      </c>
      <c r="J3" s="42"/>
      <c r="K3"/>
      <c r="L3"/>
      <c r="M3" s="42"/>
      <c r="N3" s="11" t="s">
        <v>18</v>
      </c>
      <c r="O3" s="44">
        <f>-$C$7*0.95</f>
        <v>662784.88499999989</v>
      </c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8.75" customHeight="1">
      <c r="B4" s="45" t="s">
        <v>19</v>
      </c>
      <c r="C4" s="46">
        <v>127.428</v>
      </c>
      <c r="D4" s="47" t="s">
        <v>73</v>
      </c>
      <c r="E4" s="91">
        <v>0.25</v>
      </c>
      <c r="F4" s="48"/>
      <c r="G4" s="12"/>
      <c r="H4" s="11" t="s">
        <v>43</v>
      </c>
      <c r="I4" s="49">
        <v>0</v>
      </c>
      <c r="J4" s="12"/>
      <c r="K4" s="11">
        <v>4.9549140673131333</v>
      </c>
      <c r="L4" s="26" t="s">
        <v>44</v>
      </c>
      <c r="M4" s="12"/>
      <c r="N4" s="11"/>
      <c r="O4" s="50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23.25" customHeight="1">
      <c r="B5" s="45" t="s">
        <v>20</v>
      </c>
      <c r="C5" s="51">
        <f>-$C$4*7.3*1000</f>
        <v>-930224.39999999991</v>
      </c>
      <c r="D5" s="45" t="s">
        <v>45</v>
      </c>
      <c r="E5" s="52">
        <f>-C5*E4</f>
        <v>232556.09999999998</v>
      </c>
      <c r="F5" s="53"/>
      <c r="G5" s="12"/>
      <c r="H5" s="11" t="s">
        <v>46</v>
      </c>
      <c r="I5" s="49">
        <v>0.09</v>
      </c>
      <c r="J5" s="12"/>
      <c r="K5" s="11"/>
      <c r="L5" s="13"/>
      <c r="M5" s="13"/>
      <c r="N5" s="11" t="s">
        <v>21</v>
      </c>
      <c r="O5" s="54">
        <v>0.2</v>
      </c>
      <c r="P5" s="12"/>
      <c r="Q5" s="11" t="s">
        <v>22</v>
      </c>
      <c r="R5" s="55">
        <v>0.1152</v>
      </c>
      <c r="S5" s="12"/>
      <c r="T5" s="12"/>
      <c r="U5" s="12"/>
      <c r="V5" s="12"/>
      <c r="W5" s="12"/>
      <c r="X5" s="12"/>
      <c r="Y5" s="12"/>
      <c r="Z5" s="12"/>
      <c r="AA5" s="12"/>
    </row>
    <row r="6" spans="1:27" ht="18.95" customHeight="1">
      <c r="B6" s="45" t="s">
        <v>23</v>
      </c>
      <c r="C6" s="51">
        <f>(C4*1000)*I4</f>
        <v>0</v>
      </c>
      <c r="D6" s="47"/>
      <c r="E6" s="11" t="s">
        <v>24</v>
      </c>
      <c r="F6" s="56">
        <v>0.34</v>
      </c>
      <c r="G6" s="12"/>
      <c r="H6" s="14" t="s">
        <v>25</v>
      </c>
      <c r="I6" s="57">
        <v>0.16600000000000001</v>
      </c>
      <c r="J6" s="12"/>
      <c r="K6" s="11" t="s">
        <v>26</v>
      </c>
      <c r="L6" s="51">
        <f>-$C$7</f>
        <v>697668.29999999993</v>
      </c>
      <c r="M6" s="12"/>
      <c r="N6" s="11" t="s">
        <v>27</v>
      </c>
      <c r="O6" s="55">
        <v>0.32</v>
      </c>
      <c r="P6" s="12"/>
      <c r="Q6" s="11" t="s">
        <v>28</v>
      </c>
      <c r="R6" s="55">
        <v>0.1152</v>
      </c>
      <c r="S6" s="12"/>
      <c r="T6" s="12"/>
      <c r="U6" s="12"/>
      <c r="V6" s="12"/>
      <c r="W6" s="12"/>
      <c r="X6" s="12"/>
      <c r="Y6" s="12"/>
      <c r="Z6" s="12"/>
      <c r="AA6" s="12"/>
    </row>
    <row r="7" spans="1:27" ht="24" customHeight="1">
      <c r="B7" s="58" t="s">
        <v>47</v>
      </c>
      <c r="C7" s="51">
        <f>$C$6+$C$5+$E$5</f>
        <v>-697668.29999999993</v>
      </c>
      <c r="D7" s="12"/>
      <c r="E7" s="11" t="s">
        <v>29</v>
      </c>
      <c r="F7" s="56">
        <v>9.5000000000000001E-2</v>
      </c>
      <c r="G7" s="12"/>
      <c r="H7" s="14" t="s">
        <v>30</v>
      </c>
      <c r="I7" s="59">
        <v>0.08</v>
      </c>
      <c r="J7" s="12"/>
      <c r="K7" s="15"/>
      <c r="M7" s="12"/>
      <c r="N7" s="11" t="s">
        <v>31</v>
      </c>
      <c r="O7" s="55">
        <v>0.192</v>
      </c>
      <c r="P7" s="12"/>
      <c r="Q7" s="11" t="s">
        <v>32</v>
      </c>
      <c r="R7" s="55">
        <v>5.7599999999999998E-2</v>
      </c>
      <c r="S7" s="12"/>
      <c r="T7" s="12"/>
      <c r="U7" s="12"/>
      <c r="V7" s="12"/>
      <c r="W7" s="12"/>
      <c r="X7" s="12"/>
      <c r="Y7" s="12"/>
      <c r="Z7" s="12"/>
      <c r="AA7" s="12"/>
    </row>
    <row r="8" spans="1:27" ht="18.95" customHeight="1">
      <c r="B8" s="45" t="s">
        <v>33</v>
      </c>
      <c r="C8" s="51">
        <f>IF(F8="no",0,C7)</f>
        <v>0</v>
      </c>
      <c r="E8" s="11" t="s">
        <v>71</v>
      </c>
      <c r="F8" s="60" t="s">
        <v>72</v>
      </c>
      <c r="G8" s="12" t="s">
        <v>34</v>
      </c>
      <c r="H8" s="14"/>
      <c r="I8" s="16"/>
      <c r="J8" s="12"/>
      <c r="K8" s="61">
        <f>K4*365*C4</f>
        <v>230459.09826589597</v>
      </c>
      <c r="L8" s="62">
        <f>K8/12</f>
        <v>19204.924855491332</v>
      </c>
      <c r="M8" s="18"/>
      <c r="N8" s="19"/>
      <c r="O8" s="12"/>
      <c r="P8" s="12"/>
      <c r="Q8" s="12"/>
      <c r="R8" s="13"/>
      <c r="S8" s="12"/>
      <c r="T8" s="12"/>
      <c r="U8" s="12"/>
      <c r="V8" s="12"/>
      <c r="W8" s="12"/>
      <c r="X8" s="12"/>
      <c r="Y8" s="12"/>
      <c r="Z8" s="12"/>
      <c r="AA8" s="12"/>
    </row>
    <row r="9" spans="1:27" ht="7.5" customHeight="1" thickBot="1">
      <c r="B9" s="63"/>
      <c r="C9" s="64"/>
      <c r="D9" s="65"/>
      <c r="E9" s="63"/>
      <c r="F9" s="66"/>
      <c r="G9" s="65"/>
      <c r="H9" s="67"/>
      <c r="I9" s="68"/>
      <c r="J9" s="65"/>
      <c r="K9" s="63"/>
      <c r="L9" s="69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7" s="20" customFormat="1" ht="18.95" customHeight="1" thickTop="1">
      <c r="A10" s="9"/>
      <c r="B10" s="70" t="s">
        <v>48</v>
      </c>
      <c r="C10" s="71">
        <f t="shared" ref="C10:AA10" si="0">IF($F$3-C2&gt;=0,PMT($I$3/12,$F$3*12,(-$C$8)),0)</f>
        <v>0</v>
      </c>
      <c r="D10" s="71">
        <f t="shared" si="0"/>
        <v>0</v>
      </c>
      <c r="E10" s="71">
        <f t="shared" si="0"/>
        <v>0</v>
      </c>
      <c r="F10" s="71">
        <f t="shared" si="0"/>
        <v>0</v>
      </c>
      <c r="G10" s="71">
        <f t="shared" si="0"/>
        <v>0</v>
      </c>
      <c r="H10" s="71">
        <f t="shared" si="0"/>
        <v>0</v>
      </c>
      <c r="I10" s="71">
        <f t="shared" si="0"/>
        <v>0</v>
      </c>
      <c r="J10" s="71">
        <f t="shared" si="0"/>
        <v>0</v>
      </c>
      <c r="K10" s="71">
        <f t="shared" si="0"/>
        <v>0</v>
      </c>
      <c r="L10" s="71">
        <f t="shared" si="0"/>
        <v>0</v>
      </c>
      <c r="M10" s="71">
        <f t="shared" si="0"/>
        <v>0</v>
      </c>
      <c r="N10" s="71">
        <f t="shared" si="0"/>
        <v>0</v>
      </c>
      <c r="O10" s="71">
        <f t="shared" si="0"/>
        <v>0</v>
      </c>
      <c r="P10" s="71">
        <f t="shared" si="0"/>
        <v>0</v>
      </c>
      <c r="Q10" s="71">
        <f t="shared" si="0"/>
        <v>0</v>
      </c>
      <c r="R10" s="71">
        <f t="shared" si="0"/>
        <v>0</v>
      </c>
      <c r="S10" s="71">
        <f t="shared" si="0"/>
        <v>0</v>
      </c>
      <c r="T10" s="71">
        <f t="shared" si="0"/>
        <v>0</v>
      </c>
      <c r="U10" s="71">
        <f t="shared" si="0"/>
        <v>0</v>
      </c>
      <c r="V10" s="71">
        <f t="shared" si="0"/>
        <v>0</v>
      </c>
      <c r="W10" s="71">
        <f t="shared" si="0"/>
        <v>0</v>
      </c>
      <c r="X10" s="71">
        <f t="shared" si="0"/>
        <v>0</v>
      </c>
      <c r="Y10" s="71">
        <f t="shared" si="0"/>
        <v>0</v>
      </c>
      <c r="Z10" s="71">
        <f t="shared" si="0"/>
        <v>0</v>
      </c>
      <c r="AA10" s="71">
        <f t="shared" si="0"/>
        <v>0</v>
      </c>
    </row>
    <row r="11" spans="1:27" s="20" customFormat="1" ht="18.95" customHeight="1">
      <c r="A11" s="9">
        <v>1</v>
      </c>
      <c r="B11" s="72" t="s">
        <v>49</v>
      </c>
      <c r="C11" s="73">
        <f t="shared" ref="C11:AA11" si="1">C10*12</f>
        <v>0</v>
      </c>
      <c r="D11" s="51">
        <f t="shared" si="1"/>
        <v>0</v>
      </c>
      <c r="E11" s="51">
        <f t="shared" si="1"/>
        <v>0</v>
      </c>
      <c r="F11" s="51">
        <f t="shared" si="1"/>
        <v>0</v>
      </c>
      <c r="G11" s="51">
        <f t="shared" si="1"/>
        <v>0</v>
      </c>
      <c r="H11" s="51">
        <f t="shared" si="1"/>
        <v>0</v>
      </c>
      <c r="I11" s="51">
        <f t="shared" si="1"/>
        <v>0</v>
      </c>
      <c r="J11" s="51">
        <f t="shared" si="1"/>
        <v>0</v>
      </c>
      <c r="K11" s="51">
        <f t="shared" si="1"/>
        <v>0</v>
      </c>
      <c r="L11" s="51">
        <f t="shared" si="1"/>
        <v>0</v>
      </c>
      <c r="M11" s="51">
        <f t="shared" si="1"/>
        <v>0</v>
      </c>
      <c r="N11" s="51">
        <f t="shared" si="1"/>
        <v>0</v>
      </c>
      <c r="O11" s="51">
        <f t="shared" si="1"/>
        <v>0</v>
      </c>
      <c r="P11" s="51">
        <f t="shared" si="1"/>
        <v>0</v>
      </c>
      <c r="Q11" s="51">
        <f t="shared" si="1"/>
        <v>0</v>
      </c>
      <c r="R11" s="51">
        <f t="shared" si="1"/>
        <v>0</v>
      </c>
      <c r="S11" s="51">
        <f t="shared" si="1"/>
        <v>0</v>
      </c>
      <c r="T11" s="51">
        <f t="shared" si="1"/>
        <v>0</v>
      </c>
      <c r="U11" s="51">
        <f t="shared" si="1"/>
        <v>0</v>
      </c>
      <c r="V11" s="51">
        <f t="shared" si="1"/>
        <v>0</v>
      </c>
      <c r="W11" s="51">
        <f t="shared" si="1"/>
        <v>0</v>
      </c>
      <c r="X11" s="51">
        <f t="shared" si="1"/>
        <v>0</v>
      </c>
      <c r="Y11" s="51">
        <f t="shared" si="1"/>
        <v>0</v>
      </c>
      <c r="Z11" s="51">
        <f t="shared" si="1"/>
        <v>0</v>
      </c>
      <c r="AA11" s="51">
        <f t="shared" si="1"/>
        <v>0</v>
      </c>
    </row>
    <row r="12" spans="1:27" s="22" customFormat="1" ht="18.95" customHeight="1">
      <c r="A12" s="21"/>
      <c r="B12" s="74" t="s">
        <v>35</v>
      </c>
      <c r="C12" s="75">
        <f t="shared" ref="C12:AA12" si="2">IF($F$3-C2&gt;=0,-C11-PPMT($I$3,C2,$F$3,$C$8),0)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  <c r="H12" s="75">
        <f t="shared" si="2"/>
        <v>0</v>
      </c>
      <c r="I12" s="75">
        <f t="shared" si="2"/>
        <v>0</v>
      </c>
      <c r="J12" s="75">
        <f t="shared" si="2"/>
        <v>0</v>
      </c>
      <c r="K12" s="75">
        <f t="shared" si="2"/>
        <v>0</v>
      </c>
      <c r="L12" s="75">
        <f t="shared" si="2"/>
        <v>0</v>
      </c>
      <c r="M12" s="75">
        <f t="shared" si="2"/>
        <v>0</v>
      </c>
      <c r="N12" s="75">
        <f t="shared" si="2"/>
        <v>0</v>
      </c>
      <c r="O12" s="75">
        <f t="shared" si="2"/>
        <v>0</v>
      </c>
      <c r="P12" s="75">
        <f t="shared" si="2"/>
        <v>0</v>
      </c>
      <c r="Q12" s="75">
        <f t="shared" si="2"/>
        <v>0</v>
      </c>
      <c r="R12" s="75">
        <f t="shared" si="2"/>
        <v>0</v>
      </c>
      <c r="S12" s="75">
        <f t="shared" si="2"/>
        <v>0</v>
      </c>
      <c r="T12" s="75">
        <f t="shared" si="2"/>
        <v>0</v>
      </c>
      <c r="U12" s="75">
        <f t="shared" si="2"/>
        <v>0</v>
      </c>
      <c r="V12" s="75">
        <f t="shared" si="2"/>
        <v>0</v>
      </c>
      <c r="W12" s="75">
        <f t="shared" si="2"/>
        <v>0</v>
      </c>
      <c r="X12" s="75">
        <f t="shared" si="2"/>
        <v>0</v>
      </c>
      <c r="Y12" s="75">
        <f t="shared" si="2"/>
        <v>0</v>
      </c>
      <c r="Z12" s="75">
        <f t="shared" si="2"/>
        <v>0</v>
      </c>
      <c r="AA12" s="75">
        <f t="shared" si="2"/>
        <v>0</v>
      </c>
    </row>
    <row r="13" spans="1:27" s="20" customFormat="1" ht="18.95" customHeight="1">
      <c r="A13" s="9">
        <v>2</v>
      </c>
      <c r="B13" s="76" t="s">
        <v>36</v>
      </c>
      <c r="C13" s="77">
        <f t="shared" ref="C13:AA13" si="3">($F$6+$F$7)*C12</f>
        <v>0</v>
      </c>
      <c r="D13" s="77">
        <f t="shared" si="3"/>
        <v>0</v>
      </c>
      <c r="E13" s="77">
        <f t="shared" si="3"/>
        <v>0</v>
      </c>
      <c r="F13" s="77">
        <f t="shared" si="3"/>
        <v>0</v>
      </c>
      <c r="G13" s="77">
        <f t="shared" si="3"/>
        <v>0</v>
      </c>
      <c r="H13" s="77">
        <f t="shared" si="3"/>
        <v>0</v>
      </c>
      <c r="I13" s="77">
        <f t="shared" si="3"/>
        <v>0</v>
      </c>
      <c r="J13" s="77">
        <f t="shared" si="3"/>
        <v>0</v>
      </c>
      <c r="K13" s="77">
        <f t="shared" si="3"/>
        <v>0</v>
      </c>
      <c r="L13" s="77">
        <f t="shared" si="3"/>
        <v>0</v>
      </c>
      <c r="M13" s="77">
        <f t="shared" si="3"/>
        <v>0</v>
      </c>
      <c r="N13" s="77">
        <f t="shared" si="3"/>
        <v>0</v>
      </c>
      <c r="O13" s="77">
        <f t="shared" si="3"/>
        <v>0</v>
      </c>
      <c r="P13" s="77">
        <f t="shared" si="3"/>
        <v>0</v>
      </c>
      <c r="Q13" s="77">
        <f t="shared" si="3"/>
        <v>0</v>
      </c>
      <c r="R13" s="77">
        <f t="shared" si="3"/>
        <v>0</v>
      </c>
      <c r="S13" s="77">
        <f t="shared" si="3"/>
        <v>0</v>
      </c>
      <c r="T13" s="77">
        <f t="shared" si="3"/>
        <v>0</v>
      </c>
      <c r="U13" s="77">
        <f t="shared" si="3"/>
        <v>0</v>
      </c>
      <c r="V13" s="77">
        <f t="shared" si="3"/>
        <v>0</v>
      </c>
      <c r="W13" s="77">
        <f t="shared" si="3"/>
        <v>0</v>
      </c>
      <c r="X13" s="77">
        <f t="shared" si="3"/>
        <v>0</v>
      </c>
      <c r="Y13" s="77">
        <f t="shared" si="3"/>
        <v>0</v>
      </c>
      <c r="Z13" s="77">
        <f t="shared" si="3"/>
        <v>0</v>
      </c>
      <c r="AA13" s="77">
        <f t="shared" si="3"/>
        <v>0</v>
      </c>
    </row>
    <row r="14" spans="1:27" s="20" customFormat="1" ht="18.95" customHeight="1">
      <c r="A14" s="9">
        <v>3</v>
      </c>
      <c r="B14" s="72" t="s">
        <v>37</v>
      </c>
      <c r="C14" s="78">
        <f>-C7*0.3</f>
        <v>209300.48999999996</v>
      </c>
      <c r="D14" s="79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</row>
    <row r="15" spans="1:27" s="20" customFormat="1" ht="18.95" customHeight="1">
      <c r="A15" s="9">
        <v>4</v>
      </c>
      <c r="B15" s="72" t="s">
        <v>50</v>
      </c>
      <c r="C15" s="80">
        <f>$C$4*365*$K$4*$I$5</f>
        <v>20741.318843930636</v>
      </c>
      <c r="D15" s="81">
        <f>$C$4*365*$K$4*$I$5</f>
        <v>20741.318843930636</v>
      </c>
      <c r="E15" s="81">
        <f>$C$4*365*$K$4*$I$5</f>
        <v>20741.318843930636</v>
      </c>
      <c r="F15" s="81">
        <f>$C$4*365*$K$4*$I$5</f>
        <v>20741.318843930636</v>
      </c>
      <c r="G15" s="81">
        <f>$C$4*365*$K$4*$I$5</f>
        <v>20741.318843930636</v>
      </c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</row>
    <row r="16" spans="1:27" s="20" customFormat="1" ht="18.95" customHeight="1">
      <c r="A16" s="9">
        <v>5</v>
      </c>
      <c r="B16" s="72" t="s">
        <v>51</v>
      </c>
      <c r="C16" s="82">
        <v>0</v>
      </c>
      <c r="D16" s="73">
        <v>0</v>
      </c>
      <c r="E16" s="73">
        <v>0</v>
      </c>
      <c r="F16" s="73">
        <v>0</v>
      </c>
      <c r="G16" s="73">
        <v>0</v>
      </c>
      <c r="H16" s="73"/>
      <c r="I16" s="73"/>
      <c r="J16" s="73"/>
      <c r="K16" s="73"/>
      <c r="L16" s="73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</row>
    <row r="17" spans="1:27" s="20" customFormat="1" ht="18.95" customHeight="1">
      <c r="A17" s="9">
        <v>6</v>
      </c>
      <c r="B17" s="72" t="s">
        <v>52</v>
      </c>
      <c r="C17" s="82">
        <f>-C16*$F$6</f>
        <v>0</v>
      </c>
      <c r="D17" s="81">
        <f>-D16*$F$6</f>
        <v>0</v>
      </c>
      <c r="E17" s="81">
        <f>-E16*$F$6</f>
        <v>0</v>
      </c>
      <c r="F17" s="81">
        <f>-F16*$F$6</f>
        <v>0</v>
      </c>
      <c r="G17" s="81">
        <f>-G16*$F$6</f>
        <v>0</v>
      </c>
      <c r="H17" s="73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</row>
    <row r="18" spans="1:27" s="20" customFormat="1" ht="18.95" customHeight="1">
      <c r="A18" s="9">
        <v>7</v>
      </c>
      <c r="B18" s="72" t="s">
        <v>53</v>
      </c>
      <c r="C18" s="82">
        <f>-C16*$F$7</f>
        <v>0</v>
      </c>
      <c r="D18" s="81">
        <f>-D16*$F$7</f>
        <v>0</v>
      </c>
      <c r="E18" s="81">
        <f>-E16*$F$7</f>
        <v>0</v>
      </c>
      <c r="F18" s="81">
        <f>-F16*$F$7</f>
        <v>0</v>
      </c>
      <c r="G18" s="81">
        <f>-G16*$F$7</f>
        <v>0</v>
      </c>
      <c r="H18" s="73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</row>
    <row r="19" spans="1:27" s="20" customFormat="1" ht="18.95" customHeight="1">
      <c r="A19" s="9">
        <v>8</v>
      </c>
      <c r="B19" s="72" t="s">
        <v>38</v>
      </c>
      <c r="C19" s="73">
        <f>$O$3*$O$5*$F$6</f>
        <v>45069.372179999998</v>
      </c>
      <c r="D19" s="73">
        <f>$O$3*$O$6*$F$6</f>
        <v>72110.995488</v>
      </c>
      <c r="E19" s="73">
        <f>$O$3*$O$7*$F$6</f>
        <v>43266.597292799997</v>
      </c>
      <c r="F19" s="73">
        <f>$O$3*$R$5*$F$6</f>
        <v>25959.958375679998</v>
      </c>
      <c r="G19" s="73">
        <f>$O$3*$R$6*$F$6</f>
        <v>25959.958375679998</v>
      </c>
      <c r="H19" s="73">
        <f>$O$3*$R$7*$F$6</f>
        <v>12979.979187839999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</row>
    <row r="20" spans="1:27" s="20" customFormat="1" ht="18.95" customHeight="1">
      <c r="A20" s="9">
        <v>9</v>
      </c>
      <c r="B20" s="72" t="s">
        <v>39</v>
      </c>
      <c r="C20" s="73">
        <f t="shared" ref="C20:N20" si="4">($L$6)/12*$F$7</f>
        <v>5523.207375</v>
      </c>
      <c r="D20" s="73">
        <f t="shared" si="4"/>
        <v>5523.207375</v>
      </c>
      <c r="E20" s="73">
        <f t="shared" si="4"/>
        <v>5523.207375</v>
      </c>
      <c r="F20" s="73">
        <f t="shared" si="4"/>
        <v>5523.207375</v>
      </c>
      <c r="G20" s="73">
        <f t="shared" si="4"/>
        <v>5523.207375</v>
      </c>
      <c r="H20" s="73">
        <f t="shared" si="4"/>
        <v>5523.207375</v>
      </c>
      <c r="I20" s="73">
        <f t="shared" si="4"/>
        <v>5523.207375</v>
      </c>
      <c r="J20" s="73">
        <f t="shared" si="4"/>
        <v>5523.207375</v>
      </c>
      <c r="K20" s="73">
        <f t="shared" si="4"/>
        <v>5523.207375</v>
      </c>
      <c r="L20" s="73">
        <f t="shared" si="4"/>
        <v>5523.207375</v>
      </c>
      <c r="M20" s="73">
        <f t="shared" si="4"/>
        <v>5523.207375</v>
      </c>
      <c r="N20" s="73">
        <f t="shared" si="4"/>
        <v>5523.207375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</row>
    <row r="21" spans="1:27" s="20" customFormat="1" ht="18.95" customHeight="1">
      <c r="A21" s="9">
        <v>10</v>
      </c>
      <c r="B21" s="72" t="s">
        <v>52</v>
      </c>
      <c r="C21" s="82">
        <f t="shared" ref="C21:AA21" si="5">-C20*$F$7</f>
        <v>-524.70470062499999</v>
      </c>
      <c r="D21" s="82">
        <f t="shared" si="5"/>
        <v>-524.70470062499999</v>
      </c>
      <c r="E21" s="82">
        <f t="shared" si="5"/>
        <v>-524.70470062499999</v>
      </c>
      <c r="F21" s="82">
        <f t="shared" si="5"/>
        <v>-524.70470062499999</v>
      </c>
      <c r="G21" s="82">
        <f t="shared" si="5"/>
        <v>-524.70470062499999</v>
      </c>
      <c r="H21" s="82">
        <f t="shared" si="5"/>
        <v>-524.70470062499999</v>
      </c>
      <c r="I21" s="82">
        <f t="shared" si="5"/>
        <v>-524.70470062499999</v>
      </c>
      <c r="J21" s="82">
        <f t="shared" si="5"/>
        <v>-524.70470062499999</v>
      </c>
      <c r="K21" s="82">
        <f t="shared" si="5"/>
        <v>-524.70470062499999</v>
      </c>
      <c r="L21" s="82">
        <f t="shared" si="5"/>
        <v>-524.70470062499999</v>
      </c>
      <c r="M21" s="82">
        <f t="shared" si="5"/>
        <v>-524.70470062499999</v>
      </c>
      <c r="N21" s="82">
        <f t="shared" si="5"/>
        <v>-524.70470062499999</v>
      </c>
      <c r="O21" s="82">
        <f t="shared" si="5"/>
        <v>0</v>
      </c>
      <c r="P21" s="82">
        <f t="shared" si="5"/>
        <v>0</v>
      </c>
      <c r="Q21" s="82">
        <f t="shared" si="5"/>
        <v>0</v>
      </c>
      <c r="R21" s="82">
        <f t="shared" si="5"/>
        <v>0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82">
        <f t="shared" si="5"/>
        <v>0</v>
      </c>
      <c r="W21" s="82">
        <f t="shared" si="5"/>
        <v>0</v>
      </c>
      <c r="X21" s="82">
        <f t="shared" si="5"/>
        <v>0</v>
      </c>
      <c r="Y21" s="82">
        <f t="shared" si="5"/>
        <v>0</v>
      </c>
      <c r="Z21" s="82">
        <f t="shared" si="5"/>
        <v>0</v>
      </c>
      <c r="AA21" s="82">
        <f t="shared" si="5"/>
        <v>0</v>
      </c>
    </row>
    <row r="22" spans="1:27" s="23" customFormat="1" ht="18.95" customHeight="1">
      <c r="B22" s="83" t="s">
        <v>40</v>
      </c>
      <c r="C22" s="84">
        <f>I6</f>
        <v>0.16600000000000001</v>
      </c>
      <c r="D22" s="84">
        <f t="shared" ref="D22:AA22" si="6">C22*(1+$I7)</f>
        <v>0.17928000000000002</v>
      </c>
      <c r="E22" s="84">
        <f t="shared" si="6"/>
        <v>0.19362240000000003</v>
      </c>
      <c r="F22" s="84">
        <f t="shared" si="6"/>
        <v>0.20911219200000003</v>
      </c>
      <c r="G22" s="84">
        <f t="shared" si="6"/>
        <v>0.22584116736000004</v>
      </c>
      <c r="H22" s="84">
        <f t="shared" si="6"/>
        <v>0.24390846074880007</v>
      </c>
      <c r="I22" s="84">
        <f t="shared" si="6"/>
        <v>0.26342113760870411</v>
      </c>
      <c r="J22" s="84">
        <f t="shared" si="6"/>
        <v>0.28449482861740044</v>
      </c>
      <c r="K22" s="84">
        <f t="shared" si="6"/>
        <v>0.30725441490679251</v>
      </c>
      <c r="L22" s="84">
        <f t="shared" si="6"/>
        <v>0.33183476809933593</v>
      </c>
      <c r="M22" s="84">
        <f t="shared" si="6"/>
        <v>0.35838154954728285</v>
      </c>
      <c r="N22" s="84">
        <f t="shared" si="6"/>
        <v>0.38705207351106552</v>
      </c>
      <c r="O22" s="84">
        <f t="shared" si="6"/>
        <v>0.41801623939195076</v>
      </c>
      <c r="P22" s="84">
        <f t="shared" si="6"/>
        <v>0.45145753854330684</v>
      </c>
      <c r="Q22" s="84">
        <f t="shared" si="6"/>
        <v>0.48757414162677143</v>
      </c>
      <c r="R22" s="84">
        <f t="shared" si="6"/>
        <v>0.52658007295691323</v>
      </c>
      <c r="S22" s="84">
        <f t="shared" si="6"/>
        <v>0.56870647879346636</v>
      </c>
      <c r="T22" s="84">
        <f t="shared" si="6"/>
        <v>0.6142029970969437</v>
      </c>
      <c r="U22" s="84">
        <f t="shared" si="6"/>
        <v>0.6633392368646992</v>
      </c>
      <c r="V22" s="84">
        <f t="shared" si="6"/>
        <v>0.71640637581387523</v>
      </c>
      <c r="W22" s="84">
        <f t="shared" si="6"/>
        <v>0.7737188858789853</v>
      </c>
      <c r="X22" s="84">
        <f t="shared" si="6"/>
        <v>0.83561639674930421</v>
      </c>
      <c r="Y22" s="84">
        <f t="shared" si="6"/>
        <v>0.90246570848924856</v>
      </c>
      <c r="Z22" s="84">
        <f t="shared" si="6"/>
        <v>0.97466296516838846</v>
      </c>
      <c r="AA22" s="84">
        <f t="shared" si="6"/>
        <v>1.0526360023818595</v>
      </c>
    </row>
    <row r="23" spans="1:27" s="20" customFormat="1" ht="18.95" customHeight="1">
      <c r="A23" s="9">
        <v>11</v>
      </c>
      <c r="B23" s="72" t="s">
        <v>54</v>
      </c>
      <c r="C23" s="73">
        <f>$C$4*K4*365*C22</f>
        <v>38256.210312138734</v>
      </c>
      <c r="D23" s="73">
        <f t="shared" ref="D23:AA23" si="7">$C$4*5.7*365*D22</f>
        <v>47529.629673120013</v>
      </c>
      <c r="E23" s="73">
        <f t="shared" si="7"/>
        <v>51332.00004696961</v>
      </c>
      <c r="F23" s="73">
        <f t="shared" si="7"/>
        <v>55438.560050727181</v>
      </c>
      <c r="G23" s="73">
        <f t="shared" si="7"/>
        <v>59873.644854785358</v>
      </c>
      <c r="H23" s="73">
        <f t="shared" si="7"/>
        <v>64663.536443168196</v>
      </c>
      <c r="I23" s="73">
        <f t="shared" si="7"/>
        <v>69836.619358621654</v>
      </c>
      <c r="J23" s="73">
        <f t="shared" si="7"/>
        <v>75423.548907311386</v>
      </c>
      <c r="K23" s="73">
        <f t="shared" si="7"/>
        <v>81457.432819896305</v>
      </c>
      <c r="L23" s="73">
        <f t="shared" si="7"/>
        <v>87974.027445488027</v>
      </c>
      <c r="M23" s="73">
        <f t="shared" si="7"/>
        <v>95011.949641127081</v>
      </c>
      <c r="N23" s="73">
        <f t="shared" si="7"/>
        <v>102612.90561241725</v>
      </c>
      <c r="O23" s="73">
        <f t="shared" si="7"/>
        <v>110821.93806141063</v>
      </c>
      <c r="P23" s="73">
        <f t="shared" si="7"/>
        <v>119687.69310632348</v>
      </c>
      <c r="Q23" s="73">
        <f t="shared" si="7"/>
        <v>129262.70855482938</v>
      </c>
      <c r="R23" s="73">
        <f t="shared" si="7"/>
        <v>139603.72523921574</v>
      </c>
      <c r="S23" s="73">
        <f t="shared" si="7"/>
        <v>150772.02325835303</v>
      </c>
      <c r="T23" s="73">
        <f t="shared" si="7"/>
        <v>162833.78511902128</v>
      </c>
      <c r="U23" s="73">
        <f t="shared" si="7"/>
        <v>175860.48792854298</v>
      </c>
      <c r="V23" s="73">
        <f t="shared" si="7"/>
        <v>189929.32696282645</v>
      </c>
      <c r="W23" s="73">
        <f t="shared" si="7"/>
        <v>205123.67311985258</v>
      </c>
      <c r="X23" s="73">
        <f t="shared" si="7"/>
        <v>221533.56696944081</v>
      </c>
      <c r="Y23" s="73">
        <f t="shared" si="7"/>
        <v>239256.25232699607</v>
      </c>
      <c r="Z23" s="73">
        <f t="shared" si="7"/>
        <v>258396.75251315578</v>
      </c>
      <c r="AA23" s="73">
        <f t="shared" si="7"/>
        <v>279068.4927142082</v>
      </c>
    </row>
    <row r="24" spans="1:27" s="20" customFormat="1" ht="18.95" customHeight="1">
      <c r="A24" s="9">
        <v>12</v>
      </c>
      <c r="B24" s="72" t="s">
        <v>53</v>
      </c>
      <c r="C24" s="82">
        <f t="shared" ref="C24:AA24" si="8">-C23*$F$7</f>
        <v>-3634.3399796531799</v>
      </c>
      <c r="D24" s="82">
        <f t="shared" si="8"/>
        <v>-4515.3148189464009</v>
      </c>
      <c r="E24" s="82">
        <f t="shared" si="8"/>
        <v>-4876.5400044621128</v>
      </c>
      <c r="F24" s="82">
        <f t="shared" si="8"/>
        <v>-5266.6632048190822</v>
      </c>
      <c r="G24" s="82">
        <f t="shared" si="8"/>
        <v>-5687.9962612046093</v>
      </c>
      <c r="H24" s="82">
        <f t="shared" si="8"/>
        <v>-6143.0359621009784</v>
      </c>
      <c r="I24" s="82">
        <f t="shared" si="8"/>
        <v>-6634.4788390690574</v>
      </c>
      <c r="J24" s="82">
        <f t="shared" si="8"/>
        <v>-7165.2371461945813</v>
      </c>
      <c r="K24" s="82">
        <f t="shared" si="8"/>
        <v>-7738.4561178901495</v>
      </c>
      <c r="L24" s="82">
        <f t="shared" si="8"/>
        <v>-8357.5326073213619</v>
      </c>
      <c r="M24" s="82">
        <f t="shared" si="8"/>
        <v>-9026.1352159070721</v>
      </c>
      <c r="N24" s="82">
        <f t="shared" si="8"/>
        <v>-9748.2260331796388</v>
      </c>
      <c r="O24" s="82">
        <f t="shared" si="8"/>
        <v>-10528.08411583401</v>
      </c>
      <c r="P24" s="82">
        <f t="shared" si="8"/>
        <v>-11370.330845100731</v>
      </c>
      <c r="Q24" s="82">
        <f t="shared" si="8"/>
        <v>-12279.957312708792</v>
      </c>
      <c r="R24" s="82">
        <f t="shared" si="8"/>
        <v>-13262.353897725496</v>
      </c>
      <c r="S24" s="82">
        <f t="shared" si="8"/>
        <v>-14323.342209543538</v>
      </c>
      <c r="T24" s="82">
        <f t="shared" si="8"/>
        <v>-15469.209586307023</v>
      </c>
      <c r="U24" s="82">
        <f t="shared" si="8"/>
        <v>-16706.746353211583</v>
      </c>
      <c r="V24" s="82">
        <f t="shared" si="8"/>
        <v>-18043.286061468512</v>
      </c>
      <c r="W24" s="82">
        <f t="shared" si="8"/>
        <v>-19486.748946385997</v>
      </c>
      <c r="X24" s="82">
        <f t="shared" si="8"/>
        <v>-21045.688862096878</v>
      </c>
      <c r="Y24" s="82">
        <f t="shared" si="8"/>
        <v>-22729.343971064627</v>
      </c>
      <c r="Z24" s="82">
        <f t="shared" si="8"/>
        <v>-24547.691488749799</v>
      </c>
      <c r="AA24" s="82">
        <f t="shared" si="8"/>
        <v>-26511.506807849779</v>
      </c>
    </row>
    <row r="25" spans="1:27" s="20" customFormat="1" ht="18.95" customHeight="1" thickBot="1">
      <c r="A25" s="9">
        <v>13</v>
      </c>
      <c r="B25" s="85" t="s">
        <v>52</v>
      </c>
      <c r="C25" s="86">
        <f t="shared" ref="C25:AA25" si="9">-C23*$F$6+-C24*$F$6</f>
        <v>-11771.435913045088</v>
      </c>
      <c r="D25" s="86">
        <f t="shared" si="9"/>
        <v>-14624.867050419029</v>
      </c>
      <c r="E25" s="86">
        <f t="shared" si="9"/>
        <v>-15794.856414452552</v>
      </c>
      <c r="F25" s="86">
        <f t="shared" si="9"/>
        <v>-17058.444927608754</v>
      </c>
      <c r="G25" s="86">
        <f t="shared" si="9"/>
        <v>-18423.120521817455</v>
      </c>
      <c r="H25" s="86">
        <f t="shared" si="9"/>
        <v>-19896.970163562855</v>
      </c>
      <c r="I25" s="86">
        <f t="shared" si="9"/>
        <v>-21488.727776647884</v>
      </c>
      <c r="J25" s="86">
        <f t="shared" si="9"/>
        <v>-23207.825998779714</v>
      </c>
      <c r="K25" s="86">
        <f t="shared" si="9"/>
        <v>-25064.452078682094</v>
      </c>
      <c r="L25" s="86">
        <f t="shared" si="9"/>
        <v>-27069.608244976669</v>
      </c>
      <c r="M25" s="86">
        <f t="shared" si="9"/>
        <v>-29235.176904574808</v>
      </c>
      <c r="N25" s="86">
        <f t="shared" si="9"/>
        <v>-31573.991056940791</v>
      </c>
      <c r="O25" s="86">
        <f t="shared" si="9"/>
        <v>-34099.910341496055</v>
      </c>
      <c r="P25" s="86">
        <f t="shared" si="9"/>
        <v>-36827.903168815734</v>
      </c>
      <c r="Q25" s="86">
        <f t="shared" si="9"/>
        <v>-39774.135422321007</v>
      </c>
      <c r="R25" s="86">
        <f t="shared" si="9"/>
        <v>-42956.066256106686</v>
      </c>
      <c r="S25" s="86">
        <f t="shared" si="9"/>
        <v>-46392.55155659523</v>
      </c>
      <c r="T25" s="86">
        <f t="shared" si="9"/>
        <v>-50103.955681122854</v>
      </c>
      <c r="U25" s="86">
        <f t="shared" si="9"/>
        <v>-54112.272135612679</v>
      </c>
      <c r="V25" s="86">
        <f t="shared" si="9"/>
        <v>-58441.253906461701</v>
      </c>
      <c r="W25" s="86">
        <f t="shared" si="9"/>
        <v>-63116.554218978643</v>
      </c>
      <c r="X25" s="86">
        <f t="shared" si="9"/>
        <v>-68165.878556496944</v>
      </c>
      <c r="Y25" s="86">
        <f t="shared" si="9"/>
        <v>-73619.148841016693</v>
      </c>
      <c r="Z25" s="86">
        <f t="shared" si="9"/>
        <v>-79508.680748298037</v>
      </c>
      <c r="AA25" s="86">
        <f t="shared" si="9"/>
        <v>-85869.375208161873</v>
      </c>
    </row>
    <row r="26" spans="1:27" s="20" customFormat="1" ht="28.5" customHeight="1" thickTop="1" thickBot="1">
      <c r="A26" s="9">
        <v>14</v>
      </c>
      <c r="B26" s="87" t="s">
        <v>41</v>
      </c>
      <c r="C26" s="88">
        <f>IF(C8=0,SUM(C7,C13:C21,C23:C25),SUM(C11,C13:C21,C23:C25))</f>
        <v>-394708.18188225385</v>
      </c>
      <c r="D26" s="88">
        <f t="shared" ref="D26:AA26" si="10">SUM(D11,D13:D21,D23:D25)</f>
        <v>126240.26481006022</v>
      </c>
      <c r="E26" s="88">
        <f t="shared" si="10"/>
        <v>99667.022439160588</v>
      </c>
      <c r="F26" s="88">
        <f t="shared" si="10"/>
        <v>84813.231812284983</v>
      </c>
      <c r="G26" s="88">
        <f t="shared" si="10"/>
        <v>87462.307965748929</v>
      </c>
      <c r="H26" s="88">
        <f t="shared" si="10"/>
        <v>56602.012179719342</v>
      </c>
      <c r="I26" s="88">
        <f t="shared" si="10"/>
        <v>46711.915417279728</v>
      </c>
      <c r="J26" s="88">
        <f t="shared" si="10"/>
        <v>50048.98843671209</v>
      </c>
      <c r="K26" s="88">
        <f t="shared" si="10"/>
        <v>53653.027297699067</v>
      </c>
      <c r="L26" s="88">
        <f t="shared" si="10"/>
        <v>57545.389267564999</v>
      </c>
      <c r="M26" s="88">
        <f t="shared" si="10"/>
        <v>61749.140195020213</v>
      </c>
      <c r="N26" s="88">
        <f t="shared" si="10"/>
        <v>66289.191196671818</v>
      </c>
      <c r="O26" s="88">
        <f t="shared" si="10"/>
        <v>66193.943604080574</v>
      </c>
      <c r="P26" s="88">
        <f t="shared" si="10"/>
        <v>71489.459092407022</v>
      </c>
      <c r="Q26" s="88">
        <f t="shared" si="10"/>
        <v>77208.615819799583</v>
      </c>
      <c r="R26" s="88">
        <f t="shared" si="10"/>
        <v>83385.305085383559</v>
      </c>
      <c r="S26" s="88">
        <f t="shared" si="10"/>
        <v>90056.12949221427</v>
      </c>
      <c r="T26" s="88">
        <f t="shared" si="10"/>
        <v>97260.6198515914</v>
      </c>
      <c r="U26" s="88">
        <f t="shared" si="10"/>
        <v>105041.46943971873</v>
      </c>
      <c r="V26" s="88">
        <f t="shared" si="10"/>
        <v>113444.78699489625</v>
      </c>
      <c r="W26" s="88">
        <f t="shared" si="10"/>
        <v>122520.36995448792</v>
      </c>
      <c r="X26" s="88">
        <f t="shared" si="10"/>
        <v>132321.99955084699</v>
      </c>
      <c r="Y26" s="88">
        <f t="shared" si="10"/>
        <v>142907.75951491474</v>
      </c>
      <c r="Z26" s="88">
        <f t="shared" si="10"/>
        <v>154340.38027610796</v>
      </c>
      <c r="AA26" s="88">
        <f t="shared" si="10"/>
        <v>166687.61069819657</v>
      </c>
    </row>
    <row r="27" spans="1:27" s="20" customFormat="1" ht="44.25" customHeight="1" thickBot="1">
      <c r="A27" s="9">
        <v>15</v>
      </c>
      <c r="B27" s="89" t="s">
        <v>42</v>
      </c>
      <c r="C27" s="90">
        <f>C26</f>
        <v>-394708.18188225385</v>
      </c>
      <c r="D27" s="90">
        <f t="shared" ref="D27:AA27" si="11">C27+D26</f>
        <v>-268467.91707219364</v>
      </c>
      <c r="E27" s="90">
        <f t="shared" si="11"/>
        <v>-168800.89463303305</v>
      </c>
      <c r="F27" s="90">
        <f t="shared" si="11"/>
        <v>-83987.662820748068</v>
      </c>
      <c r="G27" s="90">
        <f t="shared" si="11"/>
        <v>3474.6451450008608</v>
      </c>
      <c r="H27" s="90">
        <f t="shared" si="11"/>
        <v>60076.657324720203</v>
      </c>
      <c r="I27" s="90">
        <f t="shared" si="11"/>
        <v>106788.57274199993</v>
      </c>
      <c r="J27" s="90">
        <f t="shared" si="11"/>
        <v>156837.56117871203</v>
      </c>
      <c r="K27" s="90">
        <f t="shared" si="11"/>
        <v>210490.5884764111</v>
      </c>
      <c r="L27" s="90">
        <f t="shared" si="11"/>
        <v>268035.97774397611</v>
      </c>
      <c r="M27" s="90">
        <f t="shared" si="11"/>
        <v>329785.11793899629</v>
      </c>
      <c r="N27" s="90">
        <f t="shared" si="11"/>
        <v>396074.3091356681</v>
      </c>
      <c r="O27" s="90">
        <f t="shared" si="11"/>
        <v>462268.25273974868</v>
      </c>
      <c r="P27" s="90">
        <f t="shared" si="11"/>
        <v>533757.71183215571</v>
      </c>
      <c r="Q27" s="90">
        <f t="shared" si="11"/>
        <v>610966.3276519553</v>
      </c>
      <c r="R27" s="90">
        <f t="shared" si="11"/>
        <v>694351.63273733889</v>
      </c>
      <c r="S27" s="90">
        <f t="shared" si="11"/>
        <v>784407.76222955319</v>
      </c>
      <c r="T27" s="90">
        <f t="shared" si="11"/>
        <v>881668.38208114461</v>
      </c>
      <c r="U27" s="90">
        <f t="shared" si="11"/>
        <v>986709.85152086336</v>
      </c>
      <c r="V27" s="90">
        <f t="shared" si="11"/>
        <v>1100154.6385157597</v>
      </c>
      <c r="W27" s="90">
        <f t="shared" si="11"/>
        <v>1222675.0084702477</v>
      </c>
      <c r="X27" s="90">
        <f t="shared" si="11"/>
        <v>1354997.0080210948</v>
      </c>
      <c r="Y27" s="90">
        <f t="shared" si="11"/>
        <v>1497904.7675360097</v>
      </c>
      <c r="Z27" s="90">
        <f t="shared" si="11"/>
        <v>1652245.1478121176</v>
      </c>
      <c r="AA27" s="90">
        <f t="shared" si="11"/>
        <v>1818932.7585103142</v>
      </c>
    </row>
    <row r="28" spans="1:27" ht="24" customHeight="1">
      <c r="B28" s="27" t="s">
        <v>55</v>
      </c>
      <c r="D28" s="28"/>
      <c r="E28" s="24"/>
      <c r="F28" s="24"/>
      <c r="G28" s="24"/>
    </row>
    <row r="29" spans="1:27" ht="24" customHeight="1">
      <c r="B29" s="29" t="s">
        <v>56</v>
      </c>
      <c r="C29" s="30" t="s">
        <v>57</v>
      </c>
      <c r="D29" s="28"/>
      <c r="E29" s="24"/>
      <c r="F29" s="24"/>
      <c r="G29" s="24"/>
    </row>
    <row r="30" spans="1:27" ht="24" customHeight="1">
      <c r="B30" s="29" t="s">
        <v>58</v>
      </c>
      <c r="C30" s="30" t="s">
        <v>59</v>
      </c>
    </row>
    <row r="31" spans="1:27" ht="24" customHeight="1">
      <c r="B31" s="29" t="s">
        <v>60</v>
      </c>
      <c r="C31" s="30" t="s">
        <v>61</v>
      </c>
    </row>
    <row r="32" spans="1:27" ht="24" customHeight="1">
      <c r="B32" s="29" t="s">
        <v>62</v>
      </c>
      <c r="C32" s="30" t="s">
        <v>63</v>
      </c>
    </row>
    <row r="33" spans="2:5" ht="24" customHeight="1">
      <c r="B33" s="29" t="s">
        <v>64</v>
      </c>
      <c r="C33" s="30" t="s">
        <v>65</v>
      </c>
    </row>
    <row r="34" spans="2:5" ht="24" customHeight="1">
      <c r="B34" s="29" t="s">
        <v>66</v>
      </c>
      <c r="C34" s="30" t="s">
        <v>67</v>
      </c>
      <c r="E34" s="25"/>
    </row>
    <row r="35" spans="2:5" ht="24" customHeight="1">
      <c r="B35" s="29" t="s">
        <v>68</v>
      </c>
      <c r="C35" s="30" t="s">
        <v>69</v>
      </c>
    </row>
    <row r="36" spans="2:5" ht="24" customHeight="1">
      <c r="B36" s="31"/>
      <c r="C36" s="32" t="s">
        <v>70</v>
      </c>
    </row>
    <row r="37" spans="2:5" ht="24" customHeight="1"/>
    <row r="38" spans="2:5" ht="24" customHeight="1"/>
    <row r="39" spans="2:5" ht="24" customHeight="1"/>
    <row r="40" spans="2:5" ht="24" customHeight="1">
      <c r="E40" s="20"/>
    </row>
    <row r="41" spans="2:5" ht="24" customHeight="1"/>
    <row r="42" spans="2:5" ht="24" customHeight="1"/>
    <row r="43" spans="2:5" ht="24" customHeight="1"/>
    <row r="44" spans="2:5" ht="24" customHeight="1"/>
  </sheetData>
  <phoneticPr fontId="0" type="noConversion"/>
  <pageMargins left="0.25" right="0.15" top="1" bottom="0.5" header="0.25" footer="0.25"/>
  <pageSetup scale="41" orientation="landscape" horizontalDpi="4294967292" verticalDpi="429496729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25"/>
  <sheetViews>
    <sheetView workbookViewId="0">
      <selection activeCell="C33" sqref="C33"/>
    </sheetView>
  </sheetViews>
  <sheetFormatPr defaultColWidth="11.42578125" defaultRowHeight="12.75"/>
  <cols>
    <col min="1" max="1" width="12.7109375" bestFit="1" customWidth="1"/>
    <col min="2" max="2" width="12.85546875" bestFit="1" customWidth="1"/>
    <col min="3" max="3" width="12.28515625" bestFit="1" customWidth="1"/>
    <col min="4" max="4" width="11.28515625" bestFit="1" customWidth="1"/>
    <col min="5" max="5" width="11.140625" bestFit="1" customWidth="1"/>
    <col min="6" max="6" width="15.85546875" customWidth="1"/>
    <col min="7" max="19" width="11.7109375" bestFit="1" customWidth="1"/>
    <col min="20" max="20" width="13.140625" bestFit="1" customWidth="1"/>
    <col min="21" max="21" width="12.42578125" bestFit="1" customWidth="1"/>
  </cols>
  <sheetData>
    <row r="1" spans="1:21">
      <c r="A1" s="100"/>
    </row>
    <row r="2" spans="1:21">
      <c r="A2" s="106" t="s">
        <v>14</v>
      </c>
      <c r="B2" s="106" t="s">
        <v>76</v>
      </c>
    </row>
    <row r="3" spans="1:21">
      <c r="A3" s="102">
        <v>0</v>
      </c>
      <c r="B3" s="103">
        <f>'econ with fed grant'!C5</f>
        <v>-930224.39999999991</v>
      </c>
      <c r="E3" s="106" t="s">
        <v>14</v>
      </c>
      <c r="F3" s="106" t="s">
        <v>77</v>
      </c>
    </row>
    <row r="4" spans="1:21">
      <c r="A4" s="102">
        <v>1</v>
      </c>
      <c r="B4" s="104">
        <f>'econ with fed grant'!E5+'econ with fed grant'!C14+'econ with fed grant'!C15+'econ with fed grant'!C19+'econ with fed grant'!C20+'econ with fed grant'!C23</f>
        <v>551446.6987110693</v>
      </c>
      <c r="E4" s="102">
        <v>1</v>
      </c>
      <c r="F4" s="107">
        <v>-394708.18188225385</v>
      </c>
      <c r="U4" s="92"/>
    </row>
    <row r="5" spans="1:21">
      <c r="A5" s="102">
        <v>2</v>
      </c>
      <c r="B5" s="105">
        <f>'econ with fed grant'!D15+'econ with fed grant'!D19+'econ with fed grant'!D20+'econ with fed grant'!D23</f>
        <v>145905.15138005064</v>
      </c>
      <c r="E5" s="102">
        <v>2</v>
      </c>
      <c r="F5" s="107">
        <v>-268467.91707219364</v>
      </c>
    </row>
    <row r="6" spans="1:21">
      <c r="A6" s="102">
        <v>3</v>
      </c>
      <c r="B6" s="105">
        <f>'econ with fed grant'!E15+'econ with fed grant'!E19+'econ with fed grant'!E20+'econ with fed grant'!E23</f>
        <v>120863.12355870024</v>
      </c>
      <c r="E6" s="102">
        <v>3</v>
      </c>
      <c r="F6" s="107">
        <v>-168800.89463303305</v>
      </c>
    </row>
    <row r="7" spans="1:21">
      <c r="A7" s="102">
        <v>4</v>
      </c>
      <c r="B7" s="105">
        <f>'econ with fed grant'!F15+'econ with fed grant'!F19+'econ with fed grant'!F20+'econ with fed grant'!F23</f>
        <v>107663.04464533782</v>
      </c>
      <c r="E7" s="102">
        <v>4</v>
      </c>
      <c r="F7" s="107">
        <v>-83987.662820748068</v>
      </c>
    </row>
    <row r="8" spans="1:21">
      <c r="A8" s="102">
        <v>5</v>
      </c>
      <c r="B8" s="105">
        <f>'econ with fed grant'!G15+'econ with fed grant'!G19+'econ with fed grant'!G20+'econ with fed grant'!G23</f>
        <v>112098.12944939599</v>
      </c>
      <c r="E8" s="102">
        <v>5</v>
      </c>
      <c r="F8" s="107">
        <v>3474.6451450008608</v>
      </c>
    </row>
    <row r="9" spans="1:21">
      <c r="A9" s="102">
        <v>6</v>
      </c>
      <c r="B9" s="105">
        <f>'econ with fed grant'!H19+'econ with fed grant'!H20+'econ with fed grant'!H23</f>
        <v>83166.723006008193</v>
      </c>
      <c r="D9" s="99"/>
      <c r="E9" s="108">
        <v>6</v>
      </c>
      <c r="F9" s="107">
        <v>60076.657324720203</v>
      </c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</row>
    <row r="10" spans="1:21">
      <c r="A10" s="102">
        <v>7</v>
      </c>
      <c r="B10" s="105">
        <f>'econ with fed grant'!I20+'econ with fed grant'!I23</f>
        <v>75359.826733621652</v>
      </c>
      <c r="E10" s="102">
        <v>7</v>
      </c>
      <c r="F10" s="107">
        <v>106788.5727419999</v>
      </c>
    </row>
    <row r="11" spans="1:21">
      <c r="A11" s="102">
        <v>8</v>
      </c>
      <c r="B11" s="105">
        <f>'econ with fed grant'!J20+'econ with fed grant'!J23</f>
        <v>80946.756282311384</v>
      </c>
      <c r="E11" s="102">
        <v>8</v>
      </c>
      <c r="F11" s="107">
        <v>156837.561178712</v>
      </c>
    </row>
    <row r="12" spans="1:21">
      <c r="A12" s="102">
        <v>9</v>
      </c>
      <c r="B12" s="105">
        <f>'econ with fed grant'!K20+'econ with fed grant'!K23</f>
        <v>86980.640194896303</v>
      </c>
      <c r="E12" s="102">
        <v>9</v>
      </c>
      <c r="F12" s="107">
        <v>210490.58847641107</v>
      </c>
    </row>
    <row r="13" spans="1:21">
      <c r="A13" s="102">
        <v>10</v>
      </c>
      <c r="B13" s="105">
        <f>'econ with fed grant'!L20+'econ with fed grant'!L23</f>
        <v>93497.234820488025</v>
      </c>
      <c r="E13" s="102">
        <v>10</v>
      </c>
      <c r="F13" s="107">
        <v>268035.97774397617</v>
      </c>
    </row>
    <row r="14" spans="1:21">
      <c r="A14" s="102">
        <v>11</v>
      </c>
      <c r="B14" s="105">
        <f>'econ with fed grant'!M20+'econ with fed grant'!M23</f>
        <v>100535.15701612708</v>
      </c>
      <c r="E14" s="102">
        <v>11</v>
      </c>
      <c r="F14" s="107">
        <v>329785.11793899623</v>
      </c>
    </row>
    <row r="15" spans="1:21">
      <c r="A15" s="102">
        <v>12</v>
      </c>
      <c r="B15" s="105">
        <f>'econ with fed grant'!N20+'econ with fed grant'!N23</f>
        <v>108136.11298741725</v>
      </c>
      <c r="E15" s="102">
        <v>12</v>
      </c>
      <c r="F15" s="107">
        <v>396074.3091356681</v>
      </c>
    </row>
    <row r="16" spans="1:21">
      <c r="A16" s="102">
        <v>13</v>
      </c>
      <c r="B16" s="105">
        <f>'econ with fed grant'!O23</f>
        <v>110821.93806141063</v>
      </c>
      <c r="E16" s="102">
        <v>13</v>
      </c>
      <c r="F16" s="107">
        <v>462268.25273974863</v>
      </c>
    </row>
    <row r="17" spans="1:6">
      <c r="A17" s="102">
        <v>14</v>
      </c>
      <c r="B17" s="105">
        <f>'econ with fed grant'!P23</f>
        <v>119687.69310632348</v>
      </c>
      <c r="E17" s="102">
        <v>14</v>
      </c>
      <c r="F17" s="107">
        <v>533757.71183215571</v>
      </c>
    </row>
    <row r="18" spans="1:6">
      <c r="A18" s="102">
        <v>15</v>
      </c>
      <c r="B18" s="105">
        <f>'econ with fed grant'!Q23</f>
        <v>129262.70855482938</v>
      </c>
      <c r="E18" s="108">
        <v>15</v>
      </c>
      <c r="F18" s="107">
        <v>610966.32765195542</v>
      </c>
    </row>
    <row r="19" spans="1:6">
      <c r="A19" s="102">
        <v>16</v>
      </c>
      <c r="B19" s="105">
        <f>'econ with fed grant'!R23</f>
        <v>139603.72523921574</v>
      </c>
      <c r="E19" s="102">
        <v>16</v>
      </c>
      <c r="F19" s="107">
        <v>694351.63273733889</v>
      </c>
    </row>
    <row r="20" spans="1:6">
      <c r="A20" s="102">
        <v>17</v>
      </c>
      <c r="B20" s="105">
        <f>'econ with fed grant'!S23</f>
        <v>150772.02325835303</v>
      </c>
      <c r="E20" s="102">
        <v>17</v>
      </c>
      <c r="F20" s="107">
        <v>784407.76222955319</v>
      </c>
    </row>
    <row r="21" spans="1:6">
      <c r="A21" s="102">
        <v>18</v>
      </c>
      <c r="B21" s="105">
        <f>'econ with fed grant'!T23</f>
        <v>162833.78511902128</v>
      </c>
      <c r="E21" s="102">
        <v>18</v>
      </c>
      <c r="F21" s="107">
        <v>881668.38208114461</v>
      </c>
    </row>
    <row r="22" spans="1:6">
      <c r="A22" s="102">
        <v>19</v>
      </c>
      <c r="B22" s="105">
        <f>'econ with fed grant'!U23</f>
        <v>175860.48792854298</v>
      </c>
      <c r="E22" s="102">
        <v>19</v>
      </c>
      <c r="F22" s="107">
        <v>986709.85152086348</v>
      </c>
    </row>
    <row r="23" spans="1:6">
      <c r="A23" s="102">
        <v>20</v>
      </c>
      <c r="B23" s="105">
        <f>'econ with fed grant'!V23</f>
        <v>189929.32696282645</v>
      </c>
      <c r="E23" s="102">
        <v>20</v>
      </c>
      <c r="F23" s="107">
        <v>1100154.63851576</v>
      </c>
    </row>
    <row r="24" spans="1:6">
      <c r="E24" s="101"/>
    </row>
    <row r="25" spans="1:6">
      <c r="B25" t="s">
        <v>75</v>
      </c>
      <c r="C25" s="92">
        <f>NPV(0.05,B3:B23)</f>
        <v>886624.16064633534</v>
      </c>
      <c r="E25" t="s">
        <v>0</v>
      </c>
      <c r="F25" s="98">
        <f>IRR(F4:F23)</f>
        <v>0.18199210330540228</v>
      </c>
    </row>
  </sheetData>
  <phoneticPr fontId="32" type="noConversion"/>
  <pageMargins left="0.75" right="0.75" top="1" bottom="1" header="0.5" footer="0.5"/>
  <pageSetup orientation="portrait" horizontalDpi="4294967292" verticalDpi="4294967292"/>
  <headerFooter alignWithMargins="0">
    <oddHeader>&amp;LAppendix 2&amp;C&amp;22NPV and IIR Calculations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9:K52"/>
  <sheetViews>
    <sheetView workbookViewId="0">
      <selection activeCell="J18" sqref="J18"/>
    </sheetView>
  </sheetViews>
  <sheetFormatPr defaultColWidth="11.42578125" defaultRowHeight="12.75"/>
  <cols>
    <col min="1" max="1" width="12" customWidth="1"/>
    <col min="2" max="2" width="9.28515625" customWidth="1"/>
    <col min="4" max="4" width="7" customWidth="1"/>
    <col min="5" max="5" width="11" customWidth="1"/>
    <col min="6" max="6" width="6.85546875" customWidth="1"/>
    <col min="7" max="7" width="11.42578125" customWidth="1"/>
  </cols>
  <sheetData>
    <row r="19" spans="1:11">
      <c r="A19" s="93"/>
    </row>
    <row r="20" spans="1:11">
      <c r="A20" s="93"/>
    </row>
    <row r="21" spans="1:11">
      <c r="A21" s="93"/>
    </row>
    <row r="22" spans="1:11">
      <c r="A22" s="93"/>
    </row>
    <row r="23" spans="1:11">
      <c r="A23" s="93"/>
    </row>
    <row r="24" spans="1:11">
      <c r="A24" s="93"/>
    </row>
    <row r="25" spans="1:11">
      <c r="A25" s="93"/>
    </row>
    <row r="26" spans="1:11" ht="14.1" customHeight="1">
      <c r="A26" s="93"/>
    </row>
    <row r="27" spans="1:11" hidden="1">
      <c r="A27" s="93"/>
    </row>
    <row r="28" spans="1:11" ht="9.9499999999999993" hidden="1" customHeight="1">
      <c r="A28" s="93"/>
    </row>
    <row r="29" spans="1:11" ht="21" customHeight="1">
      <c r="A29" s="109" t="s">
        <v>2</v>
      </c>
      <c r="B29" s="109" t="s">
        <v>3</v>
      </c>
      <c r="C29" s="110" t="s">
        <v>4</v>
      </c>
      <c r="D29" s="110" t="s">
        <v>5</v>
      </c>
      <c r="E29" s="110" t="s">
        <v>6</v>
      </c>
      <c r="F29" s="109" t="s">
        <v>7</v>
      </c>
      <c r="G29" s="110" t="s">
        <v>8</v>
      </c>
      <c r="H29" s="109" t="s">
        <v>9</v>
      </c>
    </row>
    <row r="30" spans="1:11">
      <c r="A30" s="111">
        <v>39912</v>
      </c>
      <c r="B30" s="112">
        <v>16960</v>
      </c>
      <c r="C30" s="113">
        <v>1691.45</v>
      </c>
      <c r="D30" s="105">
        <v>52</v>
      </c>
      <c r="E30" s="113">
        <v>797.44</v>
      </c>
      <c r="F30" s="113">
        <v>7.8</v>
      </c>
      <c r="G30" s="113">
        <v>149.54</v>
      </c>
      <c r="H30" s="113">
        <v>2646.23</v>
      </c>
    </row>
    <row r="31" spans="1:11">
      <c r="A31" s="111">
        <v>39942</v>
      </c>
      <c r="B31" s="112">
        <v>20000</v>
      </c>
      <c r="C31" s="113">
        <v>1981.64</v>
      </c>
      <c r="D31" s="105">
        <v>75.2</v>
      </c>
      <c r="E31" s="113">
        <v>1638.39</v>
      </c>
      <c r="F31" s="113">
        <v>9.1999999999999993</v>
      </c>
      <c r="G31" s="113">
        <v>164.96</v>
      </c>
      <c r="H31" s="113">
        <v>3794.19</v>
      </c>
      <c r="J31" s="97" t="s">
        <v>2</v>
      </c>
      <c r="K31" s="97" t="s">
        <v>1</v>
      </c>
    </row>
    <row r="32" spans="1:11">
      <c r="A32" s="111">
        <v>39973</v>
      </c>
      <c r="B32" s="112">
        <v>18960</v>
      </c>
      <c r="C32" s="113">
        <v>1869.7</v>
      </c>
      <c r="D32" s="105">
        <v>72</v>
      </c>
      <c r="E32" s="113">
        <v>1826.64</v>
      </c>
      <c r="F32" s="113">
        <v>8.7200000000000006</v>
      </c>
      <c r="G32" s="113">
        <v>158.76</v>
      </c>
      <c r="H32" s="113">
        <v>3863.82</v>
      </c>
      <c r="J32" s="94">
        <v>39912</v>
      </c>
      <c r="K32" s="95">
        <v>2646.23</v>
      </c>
    </row>
    <row r="33" spans="1:11">
      <c r="A33" s="111">
        <v>40003</v>
      </c>
      <c r="B33" s="112">
        <v>26320</v>
      </c>
      <c r="C33" s="113">
        <v>2580.75</v>
      </c>
      <c r="D33" s="105">
        <v>80.8</v>
      </c>
      <c r="E33" s="113">
        <v>2049.89</v>
      </c>
      <c r="F33" s="113">
        <v>12.11</v>
      </c>
      <c r="G33" s="113">
        <v>197.24</v>
      </c>
      <c r="H33" s="113">
        <f>C33+E33+F33+G33</f>
        <v>4839.9899999999989</v>
      </c>
      <c r="J33" s="94">
        <v>39942</v>
      </c>
      <c r="K33" s="95">
        <v>3794.19</v>
      </c>
    </row>
    <row r="34" spans="1:11">
      <c r="A34" s="111">
        <v>40034</v>
      </c>
      <c r="B34" s="112">
        <v>25920</v>
      </c>
      <c r="C34" s="113">
        <v>2600.19</v>
      </c>
      <c r="D34" s="105">
        <v>88</v>
      </c>
      <c r="E34" s="113">
        <v>2232.56</v>
      </c>
      <c r="F34" s="113">
        <v>11.92</v>
      </c>
      <c r="G34" s="113">
        <v>195.29</v>
      </c>
      <c r="H34" s="113">
        <f t="shared" ref="H34:H46" si="0">C34+E34+F34+G34</f>
        <v>5039.96</v>
      </c>
      <c r="J34" s="94">
        <v>39973</v>
      </c>
      <c r="K34" s="95">
        <v>3863.82</v>
      </c>
    </row>
    <row r="35" spans="1:11">
      <c r="A35" s="111">
        <v>40065</v>
      </c>
      <c r="B35" s="112">
        <v>26960</v>
      </c>
      <c r="C35" s="113">
        <v>2658.33</v>
      </c>
      <c r="D35" s="105">
        <v>78.400000000000006</v>
      </c>
      <c r="E35" s="113">
        <v>1985.9</v>
      </c>
      <c r="F35" s="113">
        <v>12.4</v>
      </c>
      <c r="G35" s="113">
        <v>200.74</v>
      </c>
      <c r="H35" s="113">
        <f t="shared" si="0"/>
        <v>4857.369999999999</v>
      </c>
      <c r="J35" s="94">
        <v>40003</v>
      </c>
      <c r="K35" s="95">
        <v>4839.9899999999989</v>
      </c>
    </row>
    <row r="36" spans="1:11">
      <c r="A36" s="111">
        <v>40095</v>
      </c>
      <c r="B36" s="112">
        <v>26480</v>
      </c>
      <c r="C36" s="113">
        <v>2618.9</v>
      </c>
      <c r="D36" s="105">
        <v>90.4</v>
      </c>
      <c r="E36" s="113">
        <v>1706.66</v>
      </c>
      <c r="F36" s="113">
        <v>12.19</v>
      </c>
      <c r="G36" s="113">
        <v>198.51</v>
      </c>
      <c r="H36" s="113">
        <f t="shared" si="0"/>
        <v>4536.26</v>
      </c>
      <c r="J36" s="94">
        <v>40034</v>
      </c>
      <c r="K36" s="95">
        <v>5039.96</v>
      </c>
    </row>
    <row r="37" spans="1:11">
      <c r="A37" s="111">
        <v>40126</v>
      </c>
      <c r="B37" s="112">
        <v>25520</v>
      </c>
      <c r="C37" s="113">
        <v>2479.56</v>
      </c>
      <c r="D37" s="105">
        <v>103.2</v>
      </c>
      <c r="E37" s="113">
        <v>1533.34</v>
      </c>
      <c r="F37" s="113">
        <v>11.73</v>
      </c>
      <c r="G37" s="113">
        <v>194.92</v>
      </c>
      <c r="H37" s="113">
        <f t="shared" si="0"/>
        <v>4219.5499999999993</v>
      </c>
      <c r="J37" s="94">
        <v>40065</v>
      </c>
      <c r="K37" s="95">
        <v>4857.369999999999</v>
      </c>
    </row>
    <row r="38" spans="1:11">
      <c r="A38" s="111">
        <v>40156</v>
      </c>
      <c r="B38" s="112">
        <v>17360</v>
      </c>
      <c r="C38" s="113">
        <v>1733.45</v>
      </c>
      <c r="D38" s="105">
        <v>69.599999999999994</v>
      </c>
      <c r="E38" s="113">
        <v>985.66</v>
      </c>
      <c r="F38" s="113">
        <v>7.99</v>
      </c>
      <c r="G38" s="113">
        <v>151.26</v>
      </c>
      <c r="H38" s="113">
        <f t="shared" si="0"/>
        <v>2878.3599999999997</v>
      </c>
      <c r="J38" s="94">
        <v>40095</v>
      </c>
      <c r="K38" s="95">
        <v>4536.26</v>
      </c>
    </row>
    <row r="39" spans="1:11">
      <c r="A39" s="111">
        <v>40187</v>
      </c>
      <c r="B39" s="112">
        <v>16560</v>
      </c>
      <c r="C39" s="113">
        <v>1553.62</v>
      </c>
      <c r="D39" s="105">
        <v>48</v>
      </c>
      <c r="E39" s="113">
        <v>773.3</v>
      </c>
      <c r="F39" s="113">
        <v>7.61</v>
      </c>
      <c r="G39" s="113">
        <v>147.54</v>
      </c>
      <c r="H39" s="113">
        <f t="shared" si="0"/>
        <v>2482.0700000000002</v>
      </c>
      <c r="J39" s="94">
        <v>40126</v>
      </c>
      <c r="K39" s="95">
        <v>4219.5499999999993</v>
      </c>
    </row>
    <row r="40" spans="1:11">
      <c r="A40" s="111">
        <v>40218</v>
      </c>
      <c r="B40" s="112">
        <v>15520</v>
      </c>
      <c r="C40" s="113">
        <v>1419.96</v>
      </c>
      <c r="D40" s="105">
        <v>44</v>
      </c>
      <c r="E40" s="113">
        <v>756.75</v>
      </c>
      <c r="F40" s="113">
        <v>7.13</v>
      </c>
      <c r="G40" s="113">
        <v>142.13</v>
      </c>
      <c r="H40" s="113">
        <f t="shared" si="0"/>
        <v>2325.9700000000003</v>
      </c>
      <c r="J40" s="94">
        <v>40156</v>
      </c>
      <c r="K40" s="95">
        <v>2878.3599999999997</v>
      </c>
    </row>
    <row r="41" spans="1:11">
      <c r="A41" s="111">
        <v>40246</v>
      </c>
      <c r="B41" s="112">
        <v>14560</v>
      </c>
      <c r="C41" s="113">
        <v>1340.27</v>
      </c>
      <c r="D41" s="105">
        <v>46.4</v>
      </c>
      <c r="E41" s="113">
        <v>756.75</v>
      </c>
      <c r="F41" s="113">
        <v>6.69</v>
      </c>
      <c r="G41" s="113">
        <v>137.53</v>
      </c>
      <c r="H41" s="113">
        <f t="shared" si="0"/>
        <v>2241.2400000000002</v>
      </c>
      <c r="J41" s="94">
        <v>40187</v>
      </c>
      <c r="K41" s="95">
        <v>2482.0700000000002</v>
      </c>
    </row>
    <row r="42" spans="1:11">
      <c r="A42" s="111">
        <v>40277</v>
      </c>
      <c r="B42" s="112">
        <v>16800</v>
      </c>
      <c r="C42" s="113">
        <v>1531.63</v>
      </c>
      <c r="D42" s="105">
        <v>48</v>
      </c>
      <c r="E42" s="113">
        <v>779.93</v>
      </c>
      <c r="F42" s="113">
        <v>7.73</v>
      </c>
      <c r="G42" s="113">
        <v>149.76</v>
      </c>
      <c r="H42" s="113">
        <f t="shared" si="0"/>
        <v>2469.0500000000002</v>
      </c>
      <c r="J42" s="94">
        <v>40218</v>
      </c>
      <c r="K42" s="95">
        <v>2325.9700000000003</v>
      </c>
    </row>
    <row r="43" spans="1:11">
      <c r="A43" s="111">
        <v>40307</v>
      </c>
      <c r="B43" s="112">
        <v>17840</v>
      </c>
      <c r="C43" s="113">
        <v>1583.6</v>
      </c>
      <c r="D43" s="105">
        <v>60.8</v>
      </c>
      <c r="E43" s="113">
        <v>1247.6500000000001</v>
      </c>
      <c r="F43" s="113">
        <v>8.1999999999999993</v>
      </c>
      <c r="G43" s="113">
        <v>155.34</v>
      </c>
      <c r="H43" s="113">
        <f t="shared" si="0"/>
        <v>2994.79</v>
      </c>
      <c r="J43" s="94">
        <v>40246</v>
      </c>
      <c r="K43" s="95">
        <v>2241.2400000000002</v>
      </c>
    </row>
    <row r="44" spans="1:11">
      <c r="A44" s="111">
        <v>40338</v>
      </c>
      <c r="B44" s="112">
        <v>20480</v>
      </c>
      <c r="C44" s="113">
        <v>1765.32</v>
      </c>
      <c r="D44" s="105">
        <v>68.8</v>
      </c>
      <c r="E44" s="113">
        <v>1691.8</v>
      </c>
      <c r="F44" s="113">
        <v>9.43</v>
      </c>
      <c r="G44" s="113">
        <v>168.63</v>
      </c>
      <c r="H44" s="113">
        <f t="shared" si="0"/>
        <v>3635.18</v>
      </c>
      <c r="J44" s="94">
        <v>40277</v>
      </c>
      <c r="K44" s="95">
        <v>2469.0500000000002</v>
      </c>
    </row>
    <row r="45" spans="1:11">
      <c r="A45" s="111">
        <v>40368</v>
      </c>
      <c r="B45" s="112">
        <v>24480</v>
      </c>
      <c r="C45" s="113">
        <v>2149.62</v>
      </c>
      <c r="D45" s="105">
        <v>76</v>
      </c>
      <c r="E45" s="113">
        <v>1868.84</v>
      </c>
      <c r="F45" s="113">
        <v>11.27</v>
      </c>
      <c r="G45" s="113">
        <v>189.55</v>
      </c>
      <c r="H45" s="113">
        <f t="shared" si="0"/>
        <v>4219.28</v>
      </c>
      <c r="J45" s="94">
        <v>40307</v>
      </c>
      <c r="K45" s="95">
        <v>2994.79</v>
      </c>
    </row>
    <row r="46" spans="1:11">
      <c r="A46" s="111">
        <v>40399</v>
      </c>
      <c r="B46" s="112">
        <v>23280</v>
      </c>
      <c r="C46" s="113">
        <v>2048.3000000000002</v>
      </c>
      <c r="D46" s="105">
        <v>76.8</v>
      </c>
      <c r="E46" s="113">
        <v>1888.52</v>
      </c>
      <c r="F46" s="113">
        <v>10.71</v>
      </c>
      <c r="G46" s="113">
        <v>183.36</v>
      </c>
      <c r="H46" s="113">
        <f t="shared" si="0"/>
        <v>4130.8900000000003</v>
      </c>
      <c r="J46" s="94">
        <v>40338</v>
      </c>
      <c r="K46" s="95">
        <v>3635.18</v>
      </c>
    </row>
    <row r="47" spans="1:11">
      <c r="B47" s="96"/>
      <c r="H47" s="95"/>
      <c r="J47" s="94">
        <v>40368</v>
      </c>
      <c r="K47" s="95">
        <v>4219.28</v>
      </c>
    </row>
    <row r="48" spans="1:11">
      <c r="J48" s="94">
        <v>40399</v>
      </c>
      <c r="K48" s="95">
        <v>4130.8900000000003</v>
      </c>
    </row>
    <row r="49" spans="1:11">
      <c r="A49" s="114" t="s">
        <v>10</v>
      </c>
      <c r="B49" s="115">
        <f>SUM(B35:B48)</f>
        <v>245840</v>
      </c>
      <c r="C49" s="116"/>
      <c r="D49" s="116"/>
      <c r="E49" s="116"/>
      <c r="F49" s="116"/>
      <c r="G49" s="116"/>
      <c r="H49" s="117">
        <f>SUM(H35:H48)</f>
        <v>40990.01</v>
      </c>
      <c r="K49" s="95"/>
    </row>
    <row r="52" spans="1:11">
      <c r="B52" s="96"/>
    </row>
  </sheetData>
  <phoneticPr fontId="32" type="noConversion"/>
  <pageMargins left="0.75" right="0.75" top="1" bottom="1" header="0.5" footer="0.5"/>
  <pageSetup orientation="portrait" horizontalDpi="4294967292" verticalDpi="4294967292"/>
  <headerFooter alignWithMargins="0">
    <oddHeader>&amp;LAppendix 3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B18" sqref="B18"/>
    </sheetView>
  </sheetViews>
  <sheetFormatPr defaultColWidth="11.42578125" defaultRowHeight="12.75"/>
  <sheetData>
    <row r="1" spans="1:1">
      <c r="A1" s="98"/>
    </row>
    <row r="2" spans="1:1">
      <c r="A2" s="98"/>
    </row>
  </sheetData>
  <phoneticPr fontId="32" type="noConversion"/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cs</vt:lpstr>
      <vt:lpstr>econ with no fed grant</vt:lpstr>
      <vt:lpstr>econ with fed grant</vt:lpstr>
      <vt:lpstr>Sheet1</vt:lpstr>
      <vt:lpstr>Sheet2</vt:lpstr>
      <vt:lpstr>Sheet3</vt:lpstr>
      <vt:lpstr>'econ with fed grant'!Print_Area</vt:lpstr>
      <vt:lpstr>'econ with no fed grant'!Print_Area</vt:lpstr>
    </vt:vector>
  </TitlesOfParts>
  <Company>JMD Enterprises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Dolan</dc:creator>
  <cp:lastModifiedBy>Cafes</cp:lastModifiedBy>
  <cp:lastPrinted>2010-12-02T21:02:18Z</cp:lastPrinted>
  <dcterms:created xsi:type="dcterms:W3CDTF">2002-03-20T16:56:23Z</dcterms:created>
  <dcterms:modified xsi:type="dcterms:W3CDTF">2010-12-09T00:32:41Z</dcterms:modified>
</cp:coreProperties>
</file>