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10" windowWidth="13395" windowHeight="12405" activeTab="1"/>
  </bookViews>
  <sheets>
    <sheet name="Trade Study" sheetId="8" r:id="rId1"/>
    <sheet name="Propulsion Subsystem Sizing" sheetId="1" r:id="rId2"/>
    <sheet name="Gas Data" sheetId="2" r:id="rId3"/>
    <sheet name="ADN Prop Data" sheetId="3" r:id="rId4"/>
    <sheet name="LV Accuracies" sheetId="5" r:id="rId5"/>
    <sheet name="EP Data" sheetId="6" r:id="rId6"/>
    <sheet name="Component Listing" sheetId="7" r:id="rId7"/>
    <sheet name="Plots" sheetId="12" r:id="rId8"/>
  </sheets>
  <externalReferences>
    <externalReference r:id="rId9"/>
  </externalReferences>
  <calcPr calcId="144525"/>
</workbook>
</file>

<file path=xl/calcChain.xml><?xml version="1.0" encoding="utf-8"?>
<calcChain xmlns="http://schemas.openxmlformats.org/spreadsheetml/2006/main">
  <c r="G21" i="8" l="1"/>
  <c r="G19" i="8"/>
  <c r="D145" i="1"/>
  <c r="G3" i="1"/>
  <c r="I36" i="8" l="1"/>
  <c r="I39" i="8" s="1"/>
  <c r="G5" i="8"/>
  <c r="I34" i="8"/>
  <c r="G7" i="8"/>
  <c r="C12" i="1"/>
  <c r="D12" i="1" s="1"/>
  <c r="C11" i="1"/>
  <c r="D11" i="1" s="1"/>
  <c r="D10" i="1" s="1"/>
  <c r="G4" i="1"/>
  <c r="G5" i="1" s="1"/>
  <c r="G6" i="1" s="1"/>
  <c r="D41" i="7"/>
  <c r="E40" i="7"/>
  <c r="E42" i="7" s="1"/>
  <c r="E44" i="7" s="1"/>
  <c r="D40" i="7"/>
  <c r="D39" i="7"/>
  <c r="E28" i="7"/>
  <c r="E15" i="7"/>
  <c r="E26" i="7"/>
  <c r="E13" i="7"/>
  <c r="D20" i="7"/>
  <c r="D25" i="7"/>
  <c r="D24" i="7"/>
  <c r="D23" i="7"/>
  <c r="D12" i="7"/>
  <c r="D11" i="7"/>
  <c r="D10" i="7"/>
  <c r="D8" i="7"/>
  <c r="D6" i="7"/>
  <c r="C256" i="1"/>
  <c r="D256" i="1" s="1"/>
  <c r="C249" i="1"/>
  <c r="D249" i="1" s="1"/>
  <c r="C250" i="1"/>
  <c r="D250" i="1" s="1"/>
  <c r="C251" i="1"/>
  <c r="D251" i="1" s="1"/>
  <c r="C252" i="1"/>
  <c r="D252" i="1" s="1"/>
  <c r="C253" i="1"/>
  <c r="D253" i="1" s="1"/>
  <c r="C254" i="1"/>
  <c r="D254" i="1" s="1"/>
  <c r="C255" i="1"/>
  <c r="D255" i="1" s="1"/>
  <c r="E255" i="1" s="1"/>
  <c r="C248" i="1"/>
  <c r="D248" i="1" s="1"/>
  <c r="C22" i="6"/>
  <c r="F25" i="6" s="1"/>
  <c r="E25" i="6"/>
  <c r="E26" i="6" s="1"/>
  <c r="B26" i="6"/>
  <c r="D26" i="6" s="1"/>
  <c r="B25" i="6"/>
  <c r="D25" i="6" s="1"/>
  <c r="B22" i="6"/>
  <c r="G25" i="6" s="1"/>
  <c r="G26" i="6" s="1"/>
  <c r="D21" i="1"/>
  <c r="I260" i="1" s="1"/>
  <c r="I261" i="1" s="1"/>
  <c r="I262" i="1" s="1"/>
  <c r="C21" i="1"/>
  <c r="C23" i="1" s="1"/>
  <c r="J3" i="5"/>
  <c r="N3" i="5" s="1"/>
  <c r="C65" i="5" s="1"/>
  <c r="K5" i="5"/>
  <c r="K3" i="5"/>
  <c r="K4" i="5" s="1"/>
  <c r="E166" i="1"/>
  <c r="E167" i="1"/>
  <c r="E168" i="1"/>
  <c r="E169" i="1"/>
  <c r="E170" i="1"/>
  <c r="E171" i="1"/>
  <c r="E165" i="1"/>
  <c r="E154" i="1"/>
  <c r="E155" i="1"/>
  <c r="E156" i="1"/>
  <c r="E157" i="1"/>
  <c r="E158" i="1"/>
  <c r="E159" i="1"/>
  <c r="E160" i="1"/>
  <c r="E161" i="1"/>
  <c r="E153" i="1"/>
  <c r="E145" i="1"/>
  <c r="F145" i="1"/>
  <c r="G145" i="1"/>
  <c r="E138" i="1"/>
  <c r="F138" i="1"/>
  <c r="G138" i="1"/>
  <c r="D138" i="1"/>
  <c r="E124" i="1"/>
  <c r="E125" i="1" s="1"/>
  <c r="F124" i="1"/>
  <c r="F125" i="1" s="1"/>
  <c r="G124" i="1"/>
  <c r="G125" i="1" s="1"/>
  <c r="D124" i="1"/>
  <c r="D125" i="1" s="1"/>
  <c r="D118" i="1"/>
  <c r="E118" i="1"/>
  <c r="F118" i="1"/>
  <c r="G118" i="1"/>
  <c r="F102" i="1"/>
  <c r="G102" i="1" s="1"/>
  <c r="D102" i="1"/>
  <c r="G17" i="8" l="1"/>
  <c r="I38" i="8"/>
  <c r="I49" i="8"/>
  <c r="I48" i="8"/>
  <c r="I47" i="8"/>
  <c r="I50" i="8"/>
  <c r="I41" i="8"/>
  <c r="I40" i="8"/>
  <c r="C10" i="1"/>
  <c r="G28" i="8"/>
  <c r="G29" i="8"/>
  <c r="G30" i="8"/>
  <c r="G24" i="8"/>
  <c r="G25" i="8"/>
  <c r="G26" i="8"/>
  <c r="G23" i="8"/>
  <c r="G27" i="8"/>
  <c r="G11" i="8"/>
  <c r="G12" i="8"/>
  <c r="G10" i="8"/>
  <c r="G13" i="8"/>
  <c r="G14" i="8"/>
  <c r="G15" i="8"/>
  <c r="G16" i="8"/>
  <c r="G9" i="8"/>
  <c r="C31" i="1"/>
  <c r="D31" i="1" s="1"/>
  <c r="B5" i="7" s="1"/>
  <c r="D5" i="7" s="1"/>
  <c r="D13" i="7" s="1"/>
  <c r="D15" i="7" s="1"/>
  <c r="E256" i="1"/>
  <c r="F256" i="1"/>
  <c r="G256" i="1" s="1"/>
  <c r="F248" i="1"/>
  <c r="G248" i="1" s="1"/>
  <c r="E248" i="1"/>
  <c r="E254" i="1"/>
  <c r="F254" i="1"/>
  <c r="G254" i="1" s="1"/>
  <c r="E251" i="1"/>
  <c r="F251" i="1"/>
  <c r="G251" i="1" s="1"/>
  <c r="E253" i="1"/>
  <c r="F253" i="1"/>
  <c r="G253" i="1" s="1"/>
  <c r="E250" i="1"/>
  <c r="F250" i="1"/>
  <c r="G250" i="1" s="1"/>
  <c r="E252" i="1"/>
  <c r="F252" i="1"/>
  <c r="G252" i="1" s="1"/>
  <c r="F249" i="1"/>
  <c r="G249" i="1" s="1"/>
  <c r="E249" i="1"/>
  <c r="F255" i="1"/>
  <c r="G255" i="1" s="1"/>
  <c r="C25" i="6"/>
  <c r="I25" i="6" s="1"/>
  <c r="B30" i="6" s="1"/>
  <c r="C26" i="6"/>
  <c r="I26" i="6" s="1"/>
  <c r="B31" i="6" s="1"/>
  <c r="H25" i="6"/>
  <c r="H26" i="6" s="1"/>
  <c r="F26" i="6"/>
  <c r="E149" i="1"/>
  <c r="D149" i="1"/>
  <c r="G149" i="1"/>
  <c r="F149" i="1"/>
  <c r="M3" i="5"/>
  <c r="L3" i="5"/>
  <c r="J4" i="5"/>
  <c r="L4" i="5" s="1"/>
  <c r="J5" i="5"/>
  <c r="K6" i="5"/>
  <c r="E102" i="1"/>
  <c r="C77" i="1"/>
  <c r="F81" i="1"/>
  <c r="F54" i="1"/>
  <c r="C50" i="1"/>
  <c r="D16" i="1"/>
  <c r="D23" i="1" s="1"/>
  <c r="B38" i="7" l="1"/>
  <c r="D38" i="7" s="1"/>
  <c r="B19" i="7"/>
  <c r="B21" i="7"/>
  <c r="D21" i="7" s="1"/>
  <c r="J25" i="6"/>
  <c r="C30" i="6" s="1"/>
  <c r="D19" i="7"/>
  <c r="D26" i="7" s="1"/>
  <c r="D28" i="7" s="1"/>
  <c r="B37" i="7"/>
  <c r="D37" i="7" s="1"/>
  <c r="D42" i="7" s="1"/>
  <c r="D44" i="7" s="1"/>
  <c r="J26" i="6"/>
  <c r="C31" i="6" s="1"/>
  <c r="B107" i="5"/>
  <c r="B125" i="5"/>
  <c r="B89" i="5"/>
  <c r="B71" i="5"/>
  <c r="B65" i="5"/>
  <c r="D65" i="5" s="1"/>
  <c r="F65" i="5" s="1"/>
  <c r="L5" i="5"/>
  <c r="N5" i="5"/>
  <c r="C67" i="5" s="1"/>
  <c r="M5" i="5"/>
  <c r="B67" i="5" s="1"/>
  <c r="N4" i="5"/>
  <c r="C66" i="5" s="1"/>
  <c r="M4" i="5"/>
  <c r="B66" i="5" s="1"/>
  <c r="J6" i="5"/>
  <c r="L6" i="5" s="1"/>
  <c r="D72" i="5" l="1"/>
  <c r="F72" i="5" s="1"/>
  <c r="D80" i="5"/>
  <c r="F80" i="5" s="1"/>
  <c r="D88" i="5"/>
  <c r="F88" i="5" s="1"/>
  <c r="D83" i="5"/>
  <c r="F83" i="5" s="1"/>
  <c r="D76" i="5"/>
  <c r="F76" i="5" s="1"/>
  <c r="D85" i="5"/>
  <c r="F85" i="5" s="1"/>
  <c r="D73" i="5"/>
  <c r="F73" i="5" s="1"/>
  <c r="D81" i="5"/>
  <c r="F81" i="5" s="1"/>
  <c r="D71" i="5"/>
  <c r="F71" i="5" s="1"/>
  <c r="D75" i="5"/>
  <c r="F75" i="5" s="1"/>
  <c r="D84" i="5"/>
  <c r="F84" i="5" s="1"/>
  <c r="D74" i="5"/>
  <c r="F74" i="5" s="1"/>
  <c r="D82" i="5"/>
  <c r="F82" i="5" s="1"/>
  <c r="D78" i="5"/>
  <c r="F78" i="5" s="1"/>
  <c r="D86" i="5"/>
  <c r="F86" i="5" s="1"/>
  <c r="D79" i="5"/>
  <c r="F79" i="5" s="1"/>
  <c r="D87" i="5"/>
  <c r="F87" i="5" s="1"/>
  <c r="D77" i="5"/>
  <c r="F77" i="5" s="1"/>
  <c r="D67" i="5"/>
  <c r="F67" i="5" s="1"/>
  <c r="D66" i="5"/>
  <c r="F66" i="5" s="1"/>
  <c r="N6" i="5"/>
  <c r="C68" i="5" s="1"/>
  <c r="M6" i="5"/>
  <c r="B68" i="5" s="1"/>
  <c r="D114" i="5" l="1"/>
  <c r="F114" i="5" s="1"/>
  <c r="D122" i="5"/>
  <c r="F122" i="5" s="1"/>
  <c r="D109" i="5"/>
  <c r="F109" i="5" s="1"/>
  <c r="D120" i="5"/>
  <c r="F120" i="5" s="1"/>
  <c r="D113" i="5"/>
  <c r="F113" i="5" s="1"/>
  <c r="D115" i="5"/>
  <c r="F115" i="5" s="1"/>
  <c r="D123" i="5"/>
  <c r="F123" i="5" s="1"/>
  <c r="D107" i="5"/>
  <c r="F107" i="5" s="1"/>
  <c r="D110" i="5"/>
  <c r="F110" i="5" s="1"/>
  <c r="D111" i="5"/>
  <c r="F111" i="5" s="1"/>
  <c r="D121" i="5"/>
  <c r="F121" i="5" s="1"/>
  <c r="D108" i="5"/>
  <c r="F108" i="5" s="1"/>
  <c r="D116" i="5"/>
  <c r="F116" i="5" s="1"/>
  <c r="D124" i="5"/>
  <c r="F124" i="5" s="1"/>
  <c r="D117" i="5"/>
  <c r="F117" i="5" s="1"/>
  <c r="D118" i="5"/>
  <c r="F118" i="5" s="1"/>
  <c r="D119" i="5"/>
  <c r="F119" i="5" s="1"/>
  <c r="D112" i="5"/>
  <c r="F112" i="5" s="1"/>
  <c r="D94" i="5"/>
  <c r="F94" i="5" s="1"/>
  <c r="D102" i="5"/>
  <c r="F102" i="5" s="1"/>
  <c r="D103" i="5"/>
  <c r="F103" i="5" s="1"/>
  <c r="D104" i="5"/>
  <c r="F104" i="5" s="1"/>
  <c r="D97" i="5"/>
  <c r="F97" i="5" s="1"/>
  <c r="D105" i="5"/>
  <c r="F105" i="5" s="1"/>
  <c r="D90" i="5"/>
  <c r="F90" i="5" s="1"/>
  <c r="D106" i="5"/>
  <c r="F106" i="5" s="1"/>
  <c r="D100" i="5"/>
  <c r="F100" i="5" s="1"/>
  <c r="D95" i="5"/>
  <c r="F95" i="5" s="1"/>
  <c r="D96" i="5"/>
  <c r="F96" i="5" s="1"/>
  <c r="D98" i="5"/>
  <c r="F98" i="5" s="1"/>
  <c r="D92" i="5"/>
  <c r="F92" i="5" s="1"/>
  <c r="D101" i="5"/>
  <c r="F101" i="5" s="1"/>
  <c r="D91" i="5"/>
  <c r="F91" i="5" s="1"/>
  <c r="D99" i="5"/>
  <c r="F99" i="5" s="1"/>
  <c r="D89" i="5"/>
  <c r="F89" i="5" s="1"/>
  <c r="D93" i="5"/>
  <c r="F93" i="5" s="1"/>
  <c r="D68" i="5"/>
  <c r="F68" i="5" s="1"/>
  <c r="D126" i="5" l="1"/>
  <c r="F126" i="5" s="1"/>
  <c r="D134" i="5"/>
  <c r="F134" i="5" s="1"/>
  <c r="D142" i="5"/>
  <c r="F142" i="5" s="1"/>
  <c r="D127" i="5"/>
  <c r="F127" i="5" s="1"/>
  <c r="D135" i="5"/>
  <c r="F135" i="5" s="1"/>
  <c r="D125" i="5"/>
  <c r="F125" i="5" s="1"/>
  <c r="D129" i="5"/>
  <c r="F129" i="5" s="1"/>
  <c r="D130" i="5"/>
  <c r="F130" i="5" s="1"/>
  <c r="D139" i="5"/>
  <c r="F139" i="5" s="1"/>
  <c r="D140" i="5"/>
  <c r="F140" i="5" s="1"/>
  <c r="D133" i="5"/>
  <c r="F133" i="5" s="1"/>
  <c r="D141" i="5"/>
  <c r="F141" i="5" s="1"/>
  <c r="D128" i="5"/>
  <c r="F128" i="5" s="1"/>
  <c r="D136" i="5"/>
  <c r="F136" i="5" s="1"/>
  <c r="D137" i="5"/>
  <c r="F137" i="5" s="1"/>
  <c r="D138" i="5"/>
  <c r="F138" i="5" s="1"/>
  <c r="D131" i="5"/>
  <c r="F131" i="5" s="1"/>
  <c r="D132" i="5"/>
  <c r="F132" i="5" s="1"/>
  <c r="H5" i="6"/>
  <c r="H17" i="6" s="1"/>
  <c r="F48" i="1"/>
  <c r="D43" i="1" s="1"/>
  <c r="C53" i="1"/>
  <c r="F75" i="1"/>
  <c r="D70" i="1" s="1"/>
  <c r="C80" i="1" l="1"/>
  <c r="C70" i="1"/>
  <c r="C68" i="1"/>
  <c r="C86" i="1" s="1"/>
  <c r="D94" i="1" s="1"/>
  <c r="E94" i="1" s="1"/>
  <c r="F103" i="1" s="1"/>
  <c r="F104" i="1" s="1"/>
  <c r="F142" i="1" s="1"/>
  <c r="D68" i="1"/>
  <c r="F126" i="1"/>
  <c r="C43" i="1"/>
  <c r="E126" i="1" l="1"/>
  <c r="G126" i="1"/>
  <c r="D99" i="1"/>
  <c r="D126" i="1"/>
  <c r="D86" i="1"/>
  <c r="F94" i="1" s="1"/>
  <c r="G94" i="1" s="1"/>
  <c r="D87" i="1"/>
  <c r="F95" i="1" s="1"/>
  <c r="C87" i="1"/>
  <c r="D95" i="1" s="1"/>
  <c r="D41" i="1" l="1"/>
  <c r="C41" i="1"/>
  <c r="F115" i="1"/>
  <c r="G95" i="1"/>
  <c r="F108" i="1"/>
  <c r="E95" i="1"/>
  <c r="D108" i="1"/>
  <c r="D115" i="1"/>
  <c r="C59" i="1" l="1"/>
  <c r="D92" i="1" s="1"/>
  <c r="C60" i="1"/>
  <c r="D93" i="1" s="1"/>
  <c r="E93" i="1" s="1"/>
  <c r="D103" i="1" s="1"/>
  <c r="D104" i="1" s="1"/>
  <c r="D142" i="1" s="1"/>
  <c r="D60" i="1"/>
  <c r="F93" i="1" s="1"/>
  <c r="G93" i="1" s="1"/>
  <c r="E103" i="1" s="1"/>
  <c r="E104" i="1" s="1"/>
  <c r="E142" i="1" s="1"/>
  <c r="D59" i="1"/>
  <c r="F92" i="1" s="1"/>
  <c r="E115" i="1"/>
  <c r="E108" i="1"/>
  <c r="G115" i="1"/>
  <c r="G103" i="1"/>
  <c r="G104" i="1" s="1"/>
  <c r="G142" i="1" s="1"/>
  <c r="G108" i="1"/>
  <c r="D111" i="1"/>
  <c r="D112" i="1" s="1"/>
  <c r="D131" i="1"/>
  <c r="D133" i="1" s="1"/>
  <c r="F131" i="1"/>
  <c r="F133" i="1" s="1"/>
  <c r="F150" i="1" s="1"/>
  <c r="F111" i="1"/>
  <c r="F112" i="1" s="1"/>
  <c r="D150" i="1" l="1"/>
  <c r="F176" i="1" s="1"/>
  <c r="G92" i="1"/>
  <c r="G119" i="1" s="1"/>
  <c r="F119" i="1"/>
  <c r="E92" i="1"/>
  <c r="E119" i="1" s="1"/>
  <c r="D119" i="1"/>
  <c r="F210" i="1"/>
  <c r="F224" i="1"/>
  <c r="F221" i="1"/>
  <c r="F216" i="1"/>
  <c r="F225" i="1"/>
  <c r="F218" i="1"/>
  <c r="F222" i="1"/>
  <c r="F214" i="1"/>
  <c r="F227" i="1"/>
  <c r="F211" i="1"/>
  <c r="F219" i="1"/>
  <c r="F220" i="1"/>
  <c r="F217" i="1"/>
  <c r="F213" i="1"/>
  <c r="F212" i="1"/>
  <c r="F215" i="1"/>
  <c r="F223" i="1"/>
  <c r="F226" i="1"/>
  <c r="F180" i="1"/>
  <c r="F182" i="1"/>
  <c r="G131" i="1"/>
  <c r="G133" i="1" s="1"/>
  <c r="G150" i="1" s="1"/>
  <c r="G111" i="1"/>
  <c r="G112" i="1" s="1"/>
  <c r="E111" i="1"/>
  <c r="E112" i="1" s="1"/>
  <c r="E131" i="1"/>
  <c r="E133" i="1" s="1"/>
  <c r="E150" i="1" s="1"/>
  <c r="F190" i="1" l="1"/>
  <c r="F177" i="1"/>
  <c r="G177" i="1" s="1"/>
  <c r="I177" i="1" s="1"/>
  <c r="C263" i="1" s="1"/>
  <c r="F189" i="1"/>
  <c r="G189" i="1" s="1"/>
  <c r="I189" i="1" s="1"/>
  <c r="C275" i="1" s="1"/>
  <c r="F188" i="1"/>
  <c r="G188" i="1" s="1"/>
  <c r="I188" i="1" s="1"/>
  <c r="C274" i="1" s="1"/>
  <c r="F186" i="1"/>
  <c r="G186" i="1" s="1"/>
  <c r="I186" i="1" s="1"/>
  <c r="C272" i="1" s="1"/>
  <c r="F187" i="1"/>
  <c r="G187" i="1" s="1"/>
  <c r="I187" i="1" s="1"/>
  <c r="C273" i="1" s="1"/>
  <c r="F185" i="1"/>
  <c r="G185" i="1" s="1"/>
  <c r="I185" i="1" s="1"/>
  <c r="C271" i="1" s="1"/>
  <c r="F178" i="1"/>
  <c r="G178" i="1" s="1"/>
  <c r="I178" i="1" s="1"/>
  <c r="C264" i="1" s="1"/>
  <c r="F184" i="1"/>
  <c r="F174" i="1"/>
  <c r="G174" i="1" s="1"/>
  <c r="I174" i="1" s="1"/>
  <c r="C260" i="1" s="1"/>
  <c r="F183" i="1"/>
  <c r="F179" i="1"/>
  <c r="G179" i="1" s="1"/>
  <c r="I179" i="1" s="1"/>
  <c r="C265" i="1" s="1"/>
  <c r="F191" i="1"/>
  <c r="G191" i="1" s="1"/>
  <c r="I191" i="1" s="1"/>
  <c r="C277" i="1" s="1"/>
  <c r="F175" i="1"/>
  <c r="G175" i="1" s="1"/>
  <c r="I175" i="1" s="1"/>
  <c r="C261" i="1" s="1"/>
  <c r="F181" i="1"/>
  <c r="G181" i="1" s="1"/>
  <c r="I181" i="1" s="1"/>
  <c r="C267" i="1" s="1"/>
  <c r="G221" i="1"/>
  <c r="I221" i="1" s="1"/>
  <c r="E271" i="1" s="1"/>
  <c r="G226" i="1"/>
  <c r="I226" i="1" s="1"/>
  <c r="E276" i="1" s="1"/>
  <c r="G223" i="1"/>
  <c r="I223" i="1" s="1"/>
  <c r="E273" i="1" s="1"/>
  <c r="G214" i="1"/>
  <c r="I214" i="1" s="1"/>
  <c r="E264" i="1" s="1"/>
  <c r="G219" i="1"/>
  <c r="I219" i="1" s="1"/>
  <c r="E269" i="1" s="1"/>
  <c r="G227" i="1"/>
  <c r="I227" i="1" s="1"/>
  <c r="E277" i="1" s="1"/>
  <c r="G215" i="1"/>
  <c r="I215" i="1" s="1"/>
  <c r="E265" i="1" s="1"/>
  <c r="G184" i="1"/>
  <c r="I184" i="1" s="1"/>
  <c r="C270" i="1" s="1"/>
  <c r="G213" i="1"/>
  <c r="I213" i="1" s="1"/>
  <c r="E263" i="1" s="1"/>
  <c r="G218" i="1"/>
  <c r="I218" i="1" s="1"/>
  <c r="E268" i="1" s="1"/>
  <c r="G190" i="1"/>
  <c r="I190" i="1" s="1"/>
  <c r="C276" i="1" s="1"/>
  <c r="G211" i="1"/>
  <c r="I211" i="1" s="1"/>
  <c r="E261" i="1" s="1"/>
  <c r="G210" i="1"/>
  <c r="I210" i="1" s="1"/>
  <c r="E260" i="1" s="1"/>
  <c r="G222" i="1"/>
  <c r="I222" i="1" s="1"/>
  <c r="E272" i="1" s="1"/>
  <c r="G176" i="1"/>
  <c r="I176" i="1" s="1"/>
  <c r="C262" i="1" s="1"/>
  <c r="G217" i="1"/>
  <c r="I217" i="1" s="1"/>
  <c r="E267" i="1" s="1"/>
  <c r="G225" i="1"/>
  <c r="I225" i="1" s="1"/>
  <c r="E275" i="1" s="1"/>
  <c r="G183" i="1"/>
  <c r="I183" i="1" s="1"/>
  <c r="C269" i="1" s="1"/>
  <c r="G224" i="1"/>
  <c r="I224" i="1" s="1"/>
  <c r="E274" i="1" s="1"/>
  <c r="G212" i="1"/>
  <c r="I212" i="1" s="1"/>
  <c r="E262" i="1" s="1"/>
  <c r="G182" i="1"/>
  <c r="I182" i="1" s="1"/>
  <c r="C268" i="1" s="1"/>
  <c r="G180" i="1"/>
  <c r="I180" i="1" s="1"/>
  <c r="C266" i="1" s="1"/>
  <c r="G220" i="1"/>
  <c r="I220" i="1" s="1"/>
  <c r="E270" i="1" s="1"/>
  <c r="G216" i="1"/>
  <c r="I216" i="1" s="1"/>
  <c r="E266" i="1" s="1"/>
  <c r="F201" i="1"/>
  <c r="F196" i="1"/>
  <c r="F200" i="1"/>
  <c r="F192" i="1"/>
  <c r="F202" i="1"/>
  <c r="F198" i="1"/>
  <c r="F203" i="1"/>
  <c r="F205" i="1"/>
  <c r="F193" i="1"/>
  <c r="F197" i="1"/>
  <c r="F206" i="1"/>
  <c r="F204" i="1"/>
  <c r="F209" i="1"/>
  <c r="F194" i="1"/>
  <c r="F207" i="1"/>
  <c r="F199" i="1"/>
  <c r="F208" i="1"/>
  <c r="F195" i="1"/>
  <c r="F238" i="1"/>
  <c r="F239" i="1"/>
  <c r="F237" i="1"/>
  <c r="F244" i="1"/>
  <c r="F234" i="1"/>
  <c r="F241" i="1"/>
  <c r="F242" i="1"/>
  <c r="F240" i="1"/>
  <c r="F243" i="1"/>
  <c r="F230" i="1"/>
  <c r="F245" i="1"/>
  <c r="F235" i="1"/>
  <c r="F229" i="1"/>
  <c r="F231" i="1"/>
  <c r="F232" i="1"/>
  <c r="F233" i="1"/>
  <c r="F236" i="1"/>
  <c r="F228" i="1"/>
  <c r="G242" i="1" l="1"/>
  <c r="I242" i="1" s="1"/>
  <c r="F274" i="1" s="1"/>
  <c r="G201" i="1"/>
  <c r="I201" i="1" s="1"/>
  <c r="D269" i="1" s="1"/>
  <c r="G231" i="1"/>
  <c r="I231" i="1" s="1"/>
  <c r="F263" i="1" s="1"/>
  <c r="G241" i="1"/>
  <c r="I241" i="1" s="1"/>
  <c r="F273" i="1" s="1"/>
  <c r="G199" i="1"/>
  <c r="I199" i="1" s="1"/>
  <c r="D267" i="1" s="1"/>
  <c r="G205" i="1"/>
  <c r="I205" i="1" s="1"/>
  <c r="D273" i="1" s="1"/>
  <c r="G229" i="1"/>
  <c r="I229" i="1" s="1"/>
  <c r="F261" i="1" s="1"/>
  <c r="G234" i="1"/>
  <c r="I234" i="1" s="1"/>
  <c r="F266" i="1" s="1"/>
  <c r="G207" i="1"/>
  <c r="I207" i="1" s="1"/>
  <c r="D275" i="1" s="1"/>
  <c r="G203" i="1"/>
  <c r="I203" i="1" s="1"/>
  <c r="D271" i="1" s="1"/>
  <c r="G208" i="1"/>
  <c r="I208" i="1" s="1"/>
  <c r="D276" i="1" s="1"/>
  <c r="G244" i="1"/>
  <c r="I244" i="1" s="1"/>
  <c r="F276" i="1" s="1"/>
  <c r="G237" i="1"/>
  <c r="I237" i="1" s="1"/>
  <c r="F269" i="1" s="1"/>
  <c r="G202" i="1"/>
  <c r="I202" i="1" s="1"/>
  <c r="D270" i="1" s="1"/>
  <c r="G228" i="1"/>
  <c r="I228" i="1" s="1"/>
  <c r="F260" i="1" s="1"/>
  <c r="G204" i="1"/>
  <c r="I204" i="1" s="1"/>
  <c r="D272" i="1" s="1"/>
  <c r="G232" i="1"/>
  <c r="I232" i="1" s="1"/>
  <c r="F264" i="1" s="1"/>
  <c r="G194" i="1"/>
  <c r="I194" i="1" s="1"/>
  <c r="D262" i="1" s="1"/>
  <c r="G245" i="1"/>
  <c r="I245" i="1" s="1"/>
  <c r="F277" i="1" s="1"/>
  <c r="G209" i="1"/>
  <c r="I209" i="1" s="1"/>
  <c r="D277" i="1" s="1"/>
  <c r="G230" i="1"/>
  <c r="I230" i="1" s="1"/>
  <c r="F262" i="1" s="1"/>
  <c r="G239" i="1"/>
  <c r="I239" i="1" s="1"/>
  <c r="F271" i="1" s="1"/>
  <c r="G192" i="1"/>
  <c r="I192" i="1" s="1"/>
  <c r="D260" i="1" s="1"/>
  <c r="G236" i="1"/>
  <c r="I236" i="1" s="1"/>
  <c r="F268" i="1" s="1"/>
  <c r="G243" i="1"/>
  <c r="I243" i="1" s="1"/>
  <c r="F275" i="1" s="1"/>
  <c r="G238" i="1"/>
  <c r="I238" i="1" s="1"/>
  <c r="F270" i="1" s="1"/>
  <c r="G206" i="1"/>
  <c r="I206" i="1" s="1"/>
  <c r="D274" i="1" s="1"/>
  <c r="G200" i="1"/>
  <c r="I200" i="1" s="1"/>
  <c r="D268" i="1" s="1"/>
  <c r="G193" i="1"/>
  <c r="I193" i="1" s="1"/>
  <c r="D261" i="1" s="1"/>
  <c r="G235" i="1"/>
  <c r="I235" i="1" s="1"/>
  <c r="F267" i="1" s="1"/>
  <c r="G198" i="1"/>
  <c r="I198" i="1" s="1"/>
  <c r="D266" i="1" s="1"/>
  <c r="G233" i="1"/>
  <c r="I233" i="1" s="1"/>
  <c r="F265" i="1" s="1"/>
  <c r="G240" i="1"/>
  <c r="I240" i="1" s="1"/>
  <c r="F272" i="1" s="1"/>
  <c r="G195" i="1"/>
  <c r="I195" i="1" s="1"/>
  <c r="D263" i="1" s="1"/>
  <c r="G197" i="1"/>
  <c r="I197" i="1" s="1"/>
  <c r="D265" i="1" s="1"/>
  <c r="G196" i="1"/>
  <c r="I196" i="1" s="1"/>
  <c r="D264" i="1" s="1"/>
</calcChain>
</file>

<file path=xl/comments1.xml><?xml version="1.0" encoding="utf-8"?>
<comments xmlns="http://schemas.openxmlformats.org/spreadsheetml/2006/main">
  <authors>
    <author>Kevin</author>
  </authors>
  <commentList>
    <comment ref="G47" authorId="0">
      <text>
        <r>
          <rPr>
            <b/>
            <sz val="9"/>
            <color indexed="81"/>
            <rFont val="Tahoma"/>
            <family val="2"/>
          </rPr>
          <t>High score for in Geo because slew maneuvers will need to be made less often and at smaller body relative angles</t>
        </r>
      </text>
    </comment>
  </commentList>
</comments>
</file>

<file path=xl/comments2.xml><?xml version="1.0" encoding="utf-8"?>
<comments xmlns="http://schemas.openxmlformats.org/spreadsheetml/2006/main">
  <authors>
    <author>Kevin</author>
  </authors>
  <commentList>
    <comment ref="I4" authorId="0">
      <text>
        <r>
          <rPr>
            <b/>
            <sz val="9"/>
            <color indexed="81"/>
            <rFont val="Tahoma"/>
            <family val="2"/>
          </rPr>
          <t>Moments of intertia margin</t>
        </r>
      </text>
    </comment>
    <comment ref="I7" authorId="0">
      <text>
        <r>
          <rPr>
            <b/>
            <sz val="9"/>
            <color indexed="81"/>
            <rFont val="Tahoma"/>
            <family val="2"/>
          </rPr>
          <t>Maximizes thrust and Isp for most cold gases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Can’t be a regulated system because the tanks provided can't hold large enough pressure.  A blow-down system is more appropriate.  Tank volume will have to be sacraficed for a bladder to properly maintain feed pressure.</t>
        </r>
      </text>
    </comment>
    <comment ref="D9" authorId="0">
      <text>
        <r>
          <rPr>
            <b/>
            <sz val="9"/>
            <color indexed="81"/>
            <rFont val="Tahoma"/>
            <family val="2"/>
          </rPr>
          <t>Moments of intertia margin</t>
        </r>
      </text>
    </comment>
    <comment ref="B19" authorId="0">
      <text>
        <r>
          <rPr>
            <b/>
            <sz val="9"/>
            <color indexed="81"/>
            <rFont val="Tahoma"/>
            <family val="2"/>
          </rPr>
          <t>Outside diameter</t>
        </r>
      </text>
    </comment>
    <comment ref="C33" authorId="0">
      <text>
        <r>
          <rPr>
            <b/>
            <sz val="9"/>
            <color indexed="81"/>
            <rFont val="Tahoma"/>
            <family val="2"/>
          </rPr>
          <t xml:space="preserve">Based on MEOP of given titanium
</t>
        </r>
      </text>
    </comment>
    <comment ref="C40" authorId="0">
      <text>
        <r>
          <rPr>
            <b/>
            <sz val="9"/>
            <color indexed="81"/>
            <rFont val="Tahoma"/>
            <family val="2"/>
          </rPr>
          <t>NADIR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Perpendicular to NADIR (i.e. scanning)</t>
        </r>
      </text>
    </comment>
    <comment ref="F41" authorId="0">
      <text>
        <r>
          <rPr>
            <b/>
            <sz val="9"/>
            <color indexed="81"/>
            <rFont val="Tahoma"/>
            <family val="2"/>
          </rPr>
          <t>Normal mode</t>
        </r>
      </text>
    </comment>
    <comment ref="G41" authorId="0">
      <text>
        <r>
          <rPr>
            <b/>
            <sz val="9"/>
            <color indexed="81"/>
            <rFont val="Tahoma"/>
            <family val="2"/>
          </rPr>
          <t>Worst Case</t>
        </r>
      </text>
    </comment>
    <comment ref="C42" authorId="0">
      <text>
        <r>
          <rPr>
            <b/>
            <sz val="9"/>
            <color indexed="81"/>
            <rFont val="Tahoma"/>
            <family val="2"/>
          </rPr>
          <t>Reflectivity of 0.6, incidence angle of 25 deg.</t>
        </r>
      </text>
    </comment>
    <comment ref="D42" authorId="0">
      <text>
        <r>
          <rPr>
            <b/>
            <sz val="9"/>
            <color indexed="81"/>
            <rFont val="Tahoma"/>
            <family val="2"/>
          </rPr>
          <t xml:space="preserve">Reflectivity of 1, incidence angle of 0 deg.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>Worst-case and Nominal about the same</t>
        </r>
      </text>
    </comment>
    <comment ref="F50" authorId="0">
      <text>
        <r>
          <rPr>
            <b/>
            <sz val="9"/>
            <color indexed="81"/>
            <rFont val="Tahoma"/>
            <family val="2"/>
          </rPr>
          <t>Medium-sized uncompensated satellite</t>
        </r>
      </text>
    </comment>
    <comment ref="C67" authorId="0">
      <text>
        <r>
          <rPr>
            <b/>
            <sz val="9"/>
            <color indexed="81"/>
            <rFont val="Tahoma"/>
            <family val="2"/>
          </rPr>
          <t>NADIR</t>
        </r>
      </text>
    </comment>
    <comment ref="D67" authorId="0">
      <text>
        <r>
          <rPr>
            <b/>
            <sz val="9"/>
            <color indexed="81"/>
            <rFont val="Tahoma"/>
            <family val="2"/>
          </rPr>
          <t>Perpendicular to NADIR (i.e. scanning)</t>
        </r>
      </text>
    </comment>
    <comment ref="F68" authorId="0">
      <text>
        <r>
          <rPr>
            <b/>
            <sz val="9"/>
            <color indexed="81"/>
            <rFont val="Tahoma"/>
            <family val="2"/>
          </rPr>
          <t>Normal mode</t>
        </r>
      </text>
    </comment>
    <comment ref="G68" authorId="0">
      <text>
        <r>
          <rPr>
            <b/>
            <sz val="9"/>
            <color indexed="81"/>
            <rFont val="Tahoma"/>
            <family val="2"/>
          </rPr>
          <t>Worst Case</t>
        </r>
      </text>
    </comment>
    <comment ref="C69" authorId="0">
      <text>
        <r>
          <rPr>
            <b/>
            <sz val="9"/>
            <color indexed="81"/>
            <rFont val="Tahoma"/>
            <family val="2"/>
          </rPr>
          <t>Reflectivity of 0.6, incidence angle of 25 deg.</t>
        </r>
      </text>
    </comment>
    <comment ref="D69" authorId="0">
      <text>
        <r>
          <rPr>
            <b/>
            <sz val="9"/>
            <color indexed="81"/>
            <rFont val="Tahoma"/>
            <family val="2"/>
          </rPr>
          <t xml:space="preserve">Reflectivity of 1, incidence angle of 0 deg.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6" authorId="0">
      <text>
        <r>
          <rPr>
            <b/>
            <sz val="9"/>
            <color indexed="81"/>
            <rFont val="Tahoma"/>
            <family val="2"/>
          </rPr>
          <t>Worst-case and Nominal about the same</t>
        </r>
      </text>
    </comment>
    <comment ref="F77" authorId="0">
      <text>
        <r>
          <rPr>
            <b/>
            <sz val="9"/>
            <color indexed="81"/>
            <rFont val="Tahoma"/>
            <family val="2"/>
          </rPr>
          <t>Medium-sized uncompensated satellite</t>
        </r>
      </text>
    </comment>
    <comment ref="C99" authorId="0">
      <text>
        <r>
          <rPr>
            <b/>
            <sz val="9"/>
            <color indexed="81"/>
            <rFont val="Tahoma"/>
            <family val="2"/>
          </rPr>
          <t>Size reaction wheels based on this number, storage in reaction wheels is to large if the bus is not a spinner</t>
        </r>
      </text>
    </comment>
    <comment ref="C112" authorId="0">
      <text>
        <r>
          <rPr>
            <b/>
            <sz val="9"/>
            <color indexed="81"/>
            <rFont val="Tahoma"/>
            <family val="2"/>
          </rPr>
          <t>Size bus spin rate based on these numbers</t>
        </r>
      </text>
    </comment>
    <comment ref="C114" authorId="0">
      <text>
        <r>
          <rPr>
            <b/>
            <sz val="9"/>
            <color indexed="81"/>
            <rFont val="Tahoma"/>
            <family val="2"/>
          </rPr>
          <t>Size torquer based on these numbers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7" authorId="0">
      <text>
        <r>
          <rPr>
            <b/>
            <sz val="9"/>
            <color indexed="81"/>
            <rFont val="Tahoma"/>
            <family val="2"/>
          </rPr>
          <t>Slewing rate will most likely determine size</t>
        </r>
      </text>
    </comment>
    <comment ref="C123" authorId="0">
      <text>
        <r>
          <rPr>
            <b/>
            <sz val="9"/>
            <color indexed="81"/>
            <rFont val="Tahoma"/>
            <family val="2"/>
          </rPr>
          <t>Accelerate 5% of the time, coast 90% of the time, and decelerate 5% of the time.</t>
        </r>
      </text>
    </comment>
    <comment ref="C132" authorId="0">
      <text>
        <r>
          <rPr>
            <b/>
            <sz val="9"/>
            <color indexed="81"/>
            <rFont val="Tahoma"/>
            <family val="2"/>
          </rPr>
          <t>Had to change this to meet thruster geometry requirements</t>
        </r>
      </text>
    </comment>
    <comment ref="B135" authorId="0">
      <text>
        <r>
          <rPr>
            <b/>
            <sz val="9"/>
            <color indexed="81"/>
            <rFont val="Tahoma"/>
            <family val="2"/>
          </rPr>
          <t>Use thrusters for large maneuvers and momentum dumping (1 sec each wheel once a day).</t>
        </r>
      </text>
    </comment>
    <comment ref="C137" authorId="0">
      <text>
        <r>
          <rPr>
            <b/>
            <sz val="9"/>
            <color indexed="81"/>
            <rFont val="Tahoma"/>
            <family val="2"/>
          </rPr>
          <t>4 in a pyramid configuration for redundancy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8" authorId="0">
      <text>
        <r>
          <rPr>
            <b/>
            <sz val="9"/>
            <color indexed="81"/>
            <rFont val="Tahoma"/>
            <family val="2"/>
          </rPr>
          <t>Pulse rating between 20,000 and 50,000 for small thrusters</t>
        </r>
      </text>
    </comment>
    <comment ref="B140" authorId="0">
      <text>
        <r>
          <rPr>
            <b/>
            <sz val="9"/>
            <color indexed="81"/>
            <rFont val="Tahoma"/>
            <family val="2"/>
          </rPr>
          <t>Uses reaction wheel storage from above</t>
        </r>
      </text>
    </comment>
    <comment ref="B255" authorId="0">
      <text>
        <r>
          <rPr>
            <b/>
            <sz val="9"/>
            <color indexed="81"/>
            <rFont val="Tahoma"/>
            <family val="2"/>
          </rPr>
          <t>These ones won't work because the mass flow rate required is too high</t>
        </r>
      </text>
    </comment>
    <comment ref="A257" authorId="0">
      <text>
        <r>
          <rPr>
            <b/>
            <sz val="9"/>
            <color indexed="81"/>
            <rFont val="Tahoma"/>
            <family val="2"/>
          </rPr>
          <t>Based on MEOP for the tanks and required propellant for ADCS, i.e., is it feasible with current tanks</t>
        </r>
      </text>
    </comment>
    <comment ref="C260" authorId="0">
      <text>
        <r>
          <rPr>
            <b/>
            <sz val="9"/>
            <color indexed="81"/>
            <rFont val="Tahoma"/>
            <family val="2"/>
          </rPr>
          <t>In red: propellants that meet the volume requirement</t>
        </r>
      </text>
    </comment>
  </commentList>
</comments>
</file>

<file path=xl/comments3.xml><?xml version="1.0" encoding="utf-8"?>
<comments xmlns="http://schemas.openxmlformats.org/spreadsheetml/2006/main">
  <authors>
    <author>Kevin</author>
  </authors>
  <commentList>
    <comment ref="H21" authorId="0">
      <text>
        <r>
          <rPr>
            <b/>
            <sz val="9"/>
            <color indexed="81"/>
            <rFont val="Tahoma"/>
            <family val="2"/>
          </rPr>
          <t>Direct Orbital Injection</t>
        </r>
      </text>
    </comment>
    <comment ref="H26" authorId="0">
      <text>
        <r>
          <rPr>
            <b/>
            <sz val="9"/>
            <color indexed="81"/>
            <rFont val="Tahoma"/>
            <family val="2"/>
          </rPr>
          <t>Direct Orbital Injection</t>
        </r>
      </text>
    </comment>
    <comment ref="A70" authorId="0">
      <text>
        <r>
          <rPr>
            <b/>
            <sz val="9"/>
            <color indexed="81"/>
            <rFont val="Tahoma"/>
            <family val="2"/>
          </rPr>
          <t>Assumes that the ideal rocket equation applies here</t>
        </r>
      </text>
    </comment>
    <comment ref="C80" authorId="0">
      <text>
        <r>
          <rPr>
            <b/>
            <sz val="9"/>
            <color indexed="81"/>
            <rFont val="Tahoma"/>
            <family val="2"/>
          </rPr>
          <t>Need to research into these</t>
        </r>
      </text>
    </comment>
    <comment ref="C98" authorId="0">
      <text>
        <r>
          <rPr>
            <b/>
            <sz val="9"/>
            <color indexed="81"/>
            <rFont val="Tahoma"/>
            <family val="2"/>
          </rPr>
          <t>Need to research into these</t>
        </r>
      </text>
    </comment>
    <comment ref="C116" authorId="0">
      <text>
        <r>
          <rPr>
            <b/>
            <sz val="9"/>
            <color indexed="81"/>
            <rFont val="Tahoma"/>
            <family val="2"/>
          </rPr>
          <t>Need to research into these</t>
        </r>
      </text>
    </comment>
    <comment ref="C134" authorId="0">
      <text>
        <r>
          <rPr>
            <b/>
            <sz val="9"/>
            <color indexed="81"/>
            <rFont val="Tahoma"/>
            <family val="2"/>
          </rPr>
          <t>Need to research into these</t>
        </r>
      </text>
    </comment>
  </commentList>
</comments>
</file>

<file path=xl/comments4.xml><?xml version="1.0" encoding="utf-8"?>
<comments xmlns="http://schemas.openxmlformats.org/spreadsheetml/2006/main">
  <authors>
    <author>Kevin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Discarded due to power constraints or it didn't meet mission requirements</t>
        </r>
      </text>
    </comment>
    <comment ref="H4" authorId="0">
      <text>
        <r>
          <rPr>
            <b/>
            <sz val="9"/>
            <color indexed="81"/>
            <rFont val="Tahoma"/>
            <family val="2"/>
          </rPr>
          <t>Based on body mounted surface area of the 376 bus, less 15%</t>
        </r>
      </text>
    </comment>
    <comment ref="B9" authorId="0">
      <text>
        <r>
          <rPr>
            <b/>
            <sz val="9"/>
            <color indexed="81"/>
            <rFont val="Tahoma"/>
            <family val="2"/>
          </rPr>
          <t>Meets mission and power requirements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Overall efficiency of the paths from the solar arrays through the batteries to the individiual load paths</t>
        </r>
      </text>
    </comment>
    <comment ref="B12" authorId="0">
      <text>
        <r>
          <rPr>
            <b/>
            <sz val="9"/>
            <color indexed="81"/>
            <rFont val="Tahoma"/>
            <family val="2"/>
          </rPr>
          <t>Discarded due to power constraints or it didn't meet mission requirements</t>
        </r>
      </text>
    </comment>
    <comment ref="B15" authorId="0">
      <text>
        <r>
          <rPr>
            <b/>
            <sz val="9"/>
            <color indexed="81"/>
            <rFont val="Tahoma"/>
            <family val="2"/>
          </rPr>
          <t>May meet mission power requirements depending on cell design, OSR design, efficiencies, etc.</t>
        </r>
      </text>
    </comment>
    <comment ref="E23" authorId="0">
      <text>
        <r>
          <rPr>
            <b/>
            <sz val="9"/>
            <color indexed="81"/>
            <rFont val="Tahoma"/>
            <family val="2"/>
          </rPr>
          <t xml:space="preserve">Power needed during daylight: charge batteries, operate thrusters, operate s/c
</t>
        </r>
      </text>
    </comment>
    <comment ref="G23" authorId="0">
      <text>
        <r>
          <rPr>
            <b/>
            <sz val="9"/>
            <color indexed="81"/>
            <rFont val="Tahoma"/>
            <family val="2"/>
          </rPr>
          <t>Power needed during eclipse</t>
        </r>
      </text>
    </comment>
    <comment ref="B34" authorId="0">
      <text>
        <r>
          <rPr>
            <b/>
            <sz val="9"/>
            <color indexed="81"/>
            <rFont val="Tahoma"/>
            <family val="2"/>
          </rPr>
          <t>Meets mission and power requirements</t>
        </r>
      </text>
    </comment>
    <comment ref="B37" authorId="0">
      <text>
        <r>
          <rPr>
            <b/>
            <sz val="9"/>
            <color indexed="81"/>
            <rFont val="Tahoma"/>
            <family val="2"/>
          </rPr>
          <t>May meet mission power requirements depending on cell design, OSR design, efficiencies, etc.</t>
        </r>
      </text>
    </comment>
  </commentList>
</comments>
</file>

<file path=xl/comments5.xml><?xml version="1.0" encoding="utf-8"?>
<comments xmlns="http://schemas.openxmlformats.org/spreadsheetml/2006/main">
  <authors>
    <author>Kevin</author>
  </authors>
  <commentList>
    <comment ref="F6" authorId="0">
      <text>
        <r>
          <rPr>
            <b/>
            <sz val="9"/>
            <color indexed="81"/>
            <rFont val="Tahoma"/>
            <family val="2"/>
          </rPr>
          <t>690 psig operating pressure, 2 leak redundant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 xml:space="preserve">4000 psig operating pressure, double leak redundant
</t>
        </r>
      </text>
    </comment>
    <comment ref="F8" authorId="0">
      <text>
        <r>
          <rPr>
            <b/>
            <sz val="9"/>
            <color indexed="81"/>
            <rFont val="Tahoma"/>
            <family val="2"/>
          </rPr>
          <t>Etched disc 20 micron filter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9" authorId="0">
      <text>
        <r>
          <rPr>
            <b/>
            <sz val="9"/>
            <color indexed="81"/>
            <rFont val="Tahoma"/>
            <family val="2"/>
          </rPr>
          <t>Etched disc 10 micron filter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Operating pressure is 230 psia, throat and exit area will have to be modified to bring the operating pressure down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>Operating pressure is 215 psia, throat and exit area will have to be modified to bring the operating pressure down</t>
        </r>
      </text>
    </comment>
    <comment ref="F23" authorId="0">
      <text>
        <r>
          <rPr>
            <b/>
            <sz val="9"/>
            <color indexed="81"/>
            <rFont val="Tahoma"/>
            <family val="2"/>
          </rPr>
          <t>3.4-5.0 N thrust per thruster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4" authorId="0">
      <text>
        <r>
          <rPr>
            <b/>
            <sz val="9"/>
            <color indexed="81"/>
            <rFont val="Tahoma"/>
            <family val="2"/>
          </rPr>
          <t>9.8 N at 275 psia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5" authorId="0">
      <text>
        <r>
          <rPr>
            <b/>
            <sz val="9"/>
            <color indexed="81"/>
            <rFont val="Tahoma"/>
            <family val="2"/>
          </rPr>
          <t>Could possible drop this down to just 1 tank for the whole system, cutting down on the overall system mass</t>
        </r>
      </text>
    </comment>
    <comment ref="E39" authorId="0">
      <text>
        <r>
          <rPr>
            <b/>
            <sz val="9"/>
            <color indexed="81"/>
            <rFont val="Tahoma"/>
            <family val="2"/>
          </rPr>
          <t>Estimation based on volts*amps.  Adapts to a 50 to 100 V regulated bus.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>
      <text>
        <r>
          <rPr>
            <b/>
            <sz val="9"/>
            <color indexed="81"/>
            <rFont val="Tahoma"/>
            <family val="2"/>
          </rPr>
          <t>JHU/APL, Primex, NASA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<sst xmlns="http://schemas.openxmlformats.org/spreadsheetml/2006/main" count="1112" uniqueCount="496">
  <si>
    <t>Bus Dimensions</t>
  </si>
  <si>
    <t>Dia (m)</t>
  </si>
  <si>
    <t>Height (m)</t>
  </si>
  <si>
    <t>6AL-4V</t>
  </si>
  <si>
    <t>Titanium Tank Properties</t>
  </si>
  <si>
    <t>Thickness</t>
  </si>
  <si>
    <t>in.</t>
  </si>
  <si>
    <t>m.</t>
  </si>
  <si>
    <t>Modulus of Elasticity (E)</t>
  </si>
  <si>
    <t>ksi</t>
  </si>
  <si>
    <t>MPa</t>
  </si>
  <si>
    <t>Mechanical Properties</t>
  </si>
  <si>
    <t>Ultimate Bearing Strength</t>
  </si>
  <si>
    <t>Compressive Yield Strength</t>
  </si>
  <si>
    <t>Ultimate Shear Strength</t>
  </si>
  <si>
    <t>Sphere</t>
  </si>
  <si>
    <t>ksi (avg.)</t>
  </si>
  <si>
    <t>MPa (avg.)</t>
  </si>
  <si>
    <t>Orbit Types</t>
  </si>
  <si>
    <t>Circular LEO 1000 km alt., 0 deg.</t>
  </si>
  <si>
    <t>Circular LEO 1000 km alt., 28-62 deg.</t>
  </si>
  <si>
    <t>Constants</t>
  </si>
  <si>
    <t>mu, Earth (m^3/s^2)</t>
  </si>
  <si>
    <t>Margin (15%)</t>
  </si>
  <si>
    <t>Ix (kg-m^2)</t>
  </si>
  <si>
    <t>Iy (kg-m^2)</t>
  </si>
  <si>
    <t>Iz (kg-m^2)</t>
  </si>
  <si>
    <t>Z-axis deviation (deg)</t>
  </si>
  <si>
    <t>Distrubance Torques</t>
  </si>
  <si>
    <t>Mission Duration</t>
  </si>
  <si>
    <t>Years</t>
  </si>
  <si>
    <t>Days</t>
  </si>
  <si>
    <t>Hours</t>
  </si>
  <si>
    <t>Minutes</t>
  </si>
  <si>
    <t>Seconds</t>
  </si>
  <si>
    <t>Gravity Gradient, Tg (N-m)</t>
  </si>
  <si>
    <t>Alt. (m)</t>
  </si>
  <si>
    <t>Earth Radius (m)</t>
  </si>
  <si>
    <t>Nominal</t>
  </si>
  <si>
    <t>Worst-Case</t>
  </si>
  <si>
    <t>Solar Radiation, Tsp (N-m)</t>
  </si>
  <si>
    <t>Magnetic Field, Tm (N-m)</t>
  </si>
  <si>
    <t>Aerodynamics, T (N-m)</t>
  </si>
  <si>
    <t>cm-cp offset (m)</t>
  </si>
  <si>
    <t>Incidence angle (deg.)</t>
  </si>
  <si>
    <t>Reflectivity</t>
  </si>
  <si>
    <t>Surface Area (m^2)</t>
  </si>
  <si>
    <t>Solar constant (W/m^2)</t>
  </si>
  <si>
    <t>Speed of light (m/s)</t>
  </si>
  <si>
    <t>Magnetic Dipole (A*m^2)</t>
  </si>
  <si>
    <t>Worst-case Polar Magnetic Field (tesla*m^3)</t>
  </si>
  <si>
    <t>Orbit Velocity (m/s)</t>
  </si>
  <si>
    <t>Cd</t>
  </si>
  <si>
    <t>Density Approximation (kg/m^2)</t>
  </si>
  <si>
    <t>Case 1</t>
  </si>
  <si>
    <t>Total Torque, Case 1 (N-m)</t>
  </si>
  <si>
    <t>Total Torque, Case 2 (N-m)</t>
  </si>
  <si>
    <t>Case 2</t>
  </si>
  <si>
    <t>Case 3</t>
  </si>
  <si>
    <t>Case 4</t>
  </si>
  <si>
    <t>Total Torque, Case 3 (N-m)</t>
  </si>
  <si>
    <t>Total Torque, Case 4 (N-m)</t>
  </si>
  <si>
    <t>Disturbance Torques Summary</t>
  </si>
  <si>
    <t>Ideal</t>
  </si>
  <si>
    <t>Margin (25%)</t>
  </si>
  <si>
    <t>Sizing Reaction Wheels, Momentum Wheels and Magnetic Torquers</t>
  </si>
  <si>
    <t>Slew Torque for Reaction Wheels</t>
  </si>
  <si>
    <t>Reaction wheel torque</t>
  </si>
  <si>
    <t>Worst-Case Slew Manuever (deg.)</t>
  </si>
  <si>
    <t>Torque (N-m)</t>
  </si>
  <si>
    <t>Maneuver Time (min.)</t>
  </si>
  <si>
    <t>Momentum Storage in Reaction Wheel</t>
  </si>
  <si>
    <t>Orbital Period (s)</t>
  </si>
  <si>
    <t>Case 1 and 2</t>
  </si>
  <si>
    <t>Case 3 and 4</t>
  </si>
  <si>
    <t>Cases 1 and 2 Nominal</t>
  </si>
  <si>
    <t>Cases 3 and 4 Nominal</t>
  </si>
  <si>
    <t>Case 3 and 4 Nominal</t>
  </si>
  <si>
    <t>Reaction Wheel Storage, 10x margin (N-m-s)</t>
  </si>
  <si>
    <t>Momentum Storage in Momentum Wheels</t>
  </si>
  <si>
    <t>Yaw Accuracy (deg.)</t>
  </si>
  <si>
    <t>Momentum Storage, Reaction Wheel (N-m-s)</t>
  </si>
  <si>
    <t>Momentum Storage, Momentum Wheels (N-m-s)</t>
  </si>
  <si>
    <t>Momentum Storage in Spinner</t>
  </si>
  <si>
    <t>Bus Spin Rate (rpm)</t>
  </si>
  <si>
    <t>Bus Spin Rate (rad/sec)</t>
  </si>
  <si>
    <t>Torque from Magnetic Torquers</t>
  </si>
  <si>
    <t>Dipole (A-m^2)</t>
  </si>
  <si>
    <t>Preliminary Thruster Sizing</t>
  </si>
  <si>
    <t>Force (N)</t>
  </si>
  <si>
    <t>Moment Arm (m)</t>
  </si>
  <si>
    <t>Force For External Disturbances (N)</t>
  </si>
  <si>
    <t>Force For Slewing Maneuver (N)</t>
  </si>
  <si>
    <t>Worst-Case Slew Angle (deg.)</t>
  </si>
  <si>
    <t>Rate (deg./sec)</t>
  </si>
  <si>
    <t>Accelration (rad/sec^2)</t>
  </si>
  <si>
    <t>Time For Maneuver (sec)</t>
  </si>
  <si>
    <t>Force For Slewing A Momentum Bias Vehicle (N)</t>
  </si>
  <si>
    <t>Thruster Duty Cycle (% of Spin Period)</t>
  </si>
  <si>
    <t>Angular Momentum (N-m-s)</t>
  </si>
  <si>
    <t>Average Thruster Force (N)</t>
  </si>
  <si>
    <t>Thruster Pulse Life</t>
  </si>
  <si>
    <t>Assume</t>
  </si>
  <si>
    <t>Large maneuver of 90 deg done in 2 axes each week</t>
  </si>
  <si>
    <t>3 sec acceleration and 3 sec deceleration</t>
  </si>
  <si>
    <t>Total Pulses</t>
  </si>
  <si>
    <t>Numbers of Reaction Wheels</t>
  </si>
  <si>
    <t>Force For Momentum Dumping</t>
  </si>
  <si>
    <t>Burn Pulse Time (sec)</t>
  </si>
  <si>
    <t>Propellant</t>
  </si>
  <si>
    <t>ADCS Propellant Mass (kg)</t>
  </si>
  <si>
    <t>Cases 1 and 2 Worst-Case</t>
  </si>
  <si>
    <t>3 sec on time for large maneuvers</t>
  </si>
  <si>
    <t>1 sec on time for momentum dumps</t>
  </si>
  <si>
    <t>Worst-Case Forces Used for ADCS Propellant Mass</t>
  </si>
  <si>
    <t>Large Maneuver Pulse #</t>
  </si>
  <si>
    <t>Total Impulse (N-s)</t>
  </si>
  <si>
    <t>Large Pulse Time On (sec.)</t>
  </si>
  <si>
    <t>Momentum Dump Time on (sec.)</t>
  </si>
  <si>
    <t>Momentum Dumping Pulse #</t>
  </si>
  <si>
    <t>ADCS Propellant Mass</t>
  </si>
  <si>
    <t>Gas</t>
  </si>
  <si>
    <t>a0</t>
  </si>
  <si>
    <t>c_star</t>
  </si>
  <si>
    <t>m_dot</t>
  </si>
  <si>
    <t>Isp</t>
  </si>
  <si>
    <t>m_p</t>
  </si>
  <si>
    <t>A_throat (m)</t>
  </si>
  <si>
    <t>Units</t>
  </si>
  <si>
    <t>-</t>
  </si>
  <si>
    <t>m/s</t>
  </si>
  <si>
    <t>kg/s</t>
  </si>
  <si>
    <t>s</t>
  </si>
  <si>
    <t>kg</t>
  </si>
  <si>
    <t>p_c (Pa)</t>
  </si>
  <si>
    <t>Air</t>
  </si>
  <si>
    <t>m_dot (kg/s)</t>
  </si>
  <si>
    <t>Argon (Ar)</t>
  </si>
  <si>
    <t>g0 (m/s^2)</t>
  </si>
  <si>
    <t>C02</t>
  </si>
  <si>
    <t>He</t>
  </si>
  <si>
    <t>H2</t>
  </si>
  <si>
    <t>N2</t>
  </si>
  <si>
    <t>O2</t>
  </si>
  <si>
    <t>Butane</t>
  </si>
  <si>
    <t>Propane</t>
  </si>
  <si>
    <t>Gamma (at 298.15 K)</t>
  </si>
  <si>
    <t>1/(gamma-1)</t>
  </si>
  <si>
    <t>gamma/(gamma-1)</t>
  </si>
  <si>
    <t>(gamma-1)/(gamma+1)</t>
  </si>
  <si>
    <t>(gamma-1)/gamma</t>
  </si>
  <si>
    <t>2/(gamma+1)</t>
  </si>
  <si>
    <t>(2/(gamma+1))^(1/(gamma-1))</t>
  </si>
  <si>
    <t>(2/(gamma+1))^(g/(gamma-1))</t>
  </si>
  <si>
    <t>(gamma+1)(2/(gamma+1))^(gamma/(gamma-1))</t>
  </si>
  <si>
    <t>(2/(gamma+1))^((gamma+1)/2(gamma-1)</t>
  </si>
  <si>
    <t>gamma*(2/(gamma+1))^((gamma+1)/2(gamma-1))</t>
  </si>
  <si>
    <t>Thrust (N)</t>
  </si>
  <si>
    <t>Best Isp Found at an Expansion Ratio around 25</t>
  </si>
  <si>
    <t>g0 (m/s/s)</t>
  </si>
  <si>
    <t>ADC Thruster Type</t>
  </si>
  <si>
    <t>Cold Gas</t>
  </si>
  <si>
    <t>Low Power Ion</t>
  </si>
  <si>
    <t>Monoprop</t>
  </si>
  <si>
    <t>Type</t>
  </si>
  <si>
    <t>Isp (s)</t>
  </si>
  <si>
    <t>GREEN LMP-101X</t>
  </si>
  <si>
    <t>GREEN LMP-102</t>
  </si>
  <si>
    <t>GREEN LMP-103X</t>
  </si>
  <si>
    <t>GREEN HAN/Mehtanol, 26% water</t>
  </si>
  <si>
    <t>GREEN ADN/Methanol, 26% water</t>
  </si>
  <si>
    <t>GREEN HAN/Glycine, 26% water</t>
  </si>
  <si>
    <t>GREEN Hydrazine, 60% Amm. Diss.</t>
  </si>
  <si>
    <t>2.3 kW</t>
  </si>
  <si>
    <t>0.06 kW</t>
  </si>
  <si>
    <t>Case 1 and 2 Nominal</t>
  </si>
  <si>
    <t>Case 1 and 2 Worst-Case</t>
  </si>
  <si>
    <t>Case 3 and 4 Worst-Case</t>
  </si>
  <si>
    <t>ADN Data</t>
  </si>
  <si>
    <t>Isp (sec.)</t>
  </si>
  <si>
    <t>Ivsp (Ns/dm^3)</t>
  </si>
  <si>
    <t>Operating Temp (Celcius)</t>
  </si>
  <si>
    <t>Orbit</t>
  </si>
  <si>
    <t>GEO</t>
  </si>
  <si>
    <t>Delta time (sec.)</t>
  </si>
  <si>
    <t>Orbital Parameters</t>
  </si>
  <si>
    <t>Typical Circular Orbits</t>
  </si>
  <si>
    <t>H = 300 km, inc = 98 degrees</t>
  </si>
  <si>
    <t>H = 600 km, inc = 98 degrees</t>
  </si>
  <si>
    <t>H = 900 km, inc = 65 degrees</t>
  </si>
  <si>
    <t>Altitude, km</t>
  </si>
  <si>
    <t xml:space="preserve"> ± 4.0</t>
  </si>
  <si>
    <t xml:space="preserve"> ± 5.5</t>
  </si>
  <si>
    <t xml:space="preserve"> ± 10.0</t>
  </si>
  <si>
    <t>Period of revolution, sec.</t>
  </si>
  <si>
    <t xml:space="preserve"> ± 3.0</t>
  </si>
  <si>
    <t xml:space="preserve"> ± 6.5</t>
  </si>
  <si>
    <t>Inclination, deg.</t>
  </si>
  <si>
    <t xml:space="preserve"> ± 0.040</t>
  </si>
  <si>
    <t xml:space="preserve"> ± 0.045</t>
  </si>
  <si>
    <t xml:space="preserve"> ± .050</t>
  </si>
  <si>
    <t xml:space="preserve"> ± 0.050</t>
  </si>
  <si>
    <t xml:space="preserve"> ± 0.060</t>
  </si>
  <si>
    <t xml:space="preserve"> ± 0.070</t>
  </si>
  <si>
    <t>Parameter</t>
  </si>
  <si>
    <r>
      <t>3-</t>
    </r>
    <r>
      <rPr>
        <b/>
        <sz val="11"/>
        <color theme="1"/>
        <rFont val="Calibri"/>
        <family val="2"/>
      </rPr>
      <t>σ Accuracy</t>
    </r>
  </si>
  <si>
    <t>GTO</t>
  </si>
  <si>
    <t>Perigee altitude</t>
  </si>
  <si>
    <t>±5.6 km</t>
  </si>
  <si>
    <t>185 km x 35,786 km at 27 deg, ascending node inj</t>
  </si>
  <si>
    <t>Apogee altitude</t>
  </si>
  <si>
    <t>± 93 km</t>
  </si>
  <si>
    <t>Inclination</t>
  </si>
  <si>
    <t>± 0.03 deg</t>
  </si>
  <si>
    <t>LEO</t>
  </si>
  <si>
    <t>± 7.4 km</t>
  </si>
  <si>
    <t>500 km circular at 90 deg</t>
  </si>
  <si>
    <t>± 0.04 deg</t>
  </si>
  <si>
    <t>35,786 km circular at 4 deg</t>
  </si>
  <si>
    <t>Altitude</t>
  </si>
  <si>
    <t>± 130 km</t>
  </si>
  <si>
    <t>± 0.07 deg</t>
  </si>
  <si>
    <t>Eccentricity</t>
  </si>
  <si>
    <t>± 0.005</t>
  </si>
  <si>
    <t>Error Type</t>
  </si>
  <si>
    <t>Orbit 1</t>
  </si>
  <si>
    <t>Orbit 2</t>
  </si>
  <si>
    <t>Orbita altitude</t>
  </si>
  <si>
    <t>± 3.0 km</t>
  </si>
  <si>
    <t>± 6 km</t>
  </si>
  <si>
    <t>± 0.05</t>
  </si>
  <si>
    <t>Configuration</t>
  </si>
  <si>
    <t>Insertion Apse Altitude</t>
  </si>
  <si>
    <t>Non-insertion Apse Altitude</t>
  </si>
  <si>
    <t>Semi-major Axis</t>
  </si>
  <si>
    <t>Pegasus XL</t>
  </si>
  <si>
    <t>± 10 km</t>
  </si>
  <si>
    <t>± 80 km</t>
  </si>
  <si>
    <t>± 45 km</t>
  </si>
  <si>
    <t>± 0.15 deg</t>
  </si>
  <si>
    <t>Pegasus XL with HAPS</t>
  </si>
  <si>
    <t>± 15 km</t>
  </si>
  <si>
    <t>± 0.08 deg</t>
  </si>
  <si>
    <t>Tolerance (Worst Case)</t>
  </si>
  <si>
    <t>Altitude (Insertion Apse)</t>
  </si>
  <si>
    <t>± 18.5 km</t>
  </si>
  <si>
    <t>Altitude (Non-insertion Apse)</t>
  </si>
  <si>
    <t>± 92.6 km</t>
  </si>
  <si>
    <t>Altitude (Mean)</t>
  </si>
  <si>
    <t>± 55.6 km</t>
  </si>
  <si>
    <t>± 0.2 deg</t>
  </si>
  <si>
    <t>Angle</t>
  </si>
  <si>
    <t>Rate</t>
  </si>
  <si>
    <t>3-axis</t>
  </si>
  <si>
    <t>Yaw</t>
  </si>
  <si>
    <t>± 1.0 deg</t>
  </si>
  <si>
    <t>± 0.5 deg/sec</t>
  </si>
  <si>
    <t>Pitch</t>
  </si>
  <si>
    <t>Roll</t>
  </si>
  <si>
    <t>Spinning</t>
  </si>
  <si>
    <t>Spin Axis</t>
  </si>
  <si>
    <t>&lt; 10 rpm</t>
  </si>
  <si>
    <t>Spin Rate</t>
  </si>
  <si>
    <t>3 deg/sec</t>
  </si>
  <si>
    <t>3-Axis</t>
  </si>
  <si>
    <t>±1.0 deg</t>
  </si>
  <si>
    <t>± 3 deg/sec</t>
  </si>
  <si>
    <t>Orbital Parameter</t>
  </si>
  <si>
    <t>Orbital Parameter Deviation</t>
  </si>
  <si>
    <t>Standard LV configuration</t>
  </si>
  <si>
    <t>LV configuration without PBPS</t>
  </si>
  <si>
    <t>Orbital altitude, km</t>
  </si>
  <si>
    <t>at injection point</t>
  </si>
  <si>
    <t>± 5</t>
  </si>
  <si>
    <t>opposite of injection point</t>
  </si>
  <si>
    <t>± 85</t>
  </si>
  <si>
    <t>Orbit inclination, arc. Min</t>
  </si>
  <si>
    <t>± 3</t>
  </si>
  <si>
    <t xml:space="preserve">Error </t>
  </si>
  <si>
    <t>Perigee altitude, km</t>
  </si>
  <si>
    <t>± 25.0</t>
  </si>
  <si>
    <t>Apogee altitude, km</t>
  </si>
  <si>
    <t>± 9.5</t>
  </si>
  <si>
    <t>Orbit inclination , deg</t>
  </si>
  <si>
    <t>DNEPR</t>
  </si>
  <si>
    <t>Assumptions: circular obrit without a yaw maneuver, with 0.933 probabiliy</t>
  </si>
  <si>
    <t>Delta IV Family</t>
  </si>
  <si>
    <t>EUROCKOT</t>
  </si>
  <si>
    <t>Orbit 1: 300 km orbital altitude single-impulse injection scheme (direct injection)</t>
  </si>
  <si>
    <t>Orbit 2: 700 km orbital altitude two-impulse injection scheme (injection with coast phase)</t>
  </si>
  <si>
    <t>Minotaur</t>
  </si>
  <si>
    <t>Taurus II</t>
  </si>
  <si>
    <t>Start-1</t>
  </si>
  <si>
    <t>Delta II</t>
  </si>
  <si>
    <t>Assumptions: two-stage mission to low-earth orbit</t>
  </si>
  <si>
    <t>RAAND, deg</t>
  </si>
  <si>
    <t>H = 1000 km, inc = 0 deg.</t>
  </si>
  <si>
    <t>H = 1000 km, inc = 28-62 deg.</t>
  </si>
  <si>
    <t>H = 35786 km, inc = 0 deg.</t>
  </si>
  <si>
    <t>H = 35786 km, inc = 28-62 deg.</t>
  </si>
  <si>
    <t>Geostationary 35786 km alt., 0 deg.</t>
  </si>
  <si>
    <t>Geosynchronous 35786 km alt., ~20 deg.</t>
  </si>
  <si>
    <t>Orbit Parameters</t>
  </si>
  <si>
    <t>Period of revolution, sec. ±</t>
  </si>
  <si>
    <t>Inclination, deg. ±</t>
  </si>
  <si>
    <t>Ra (m)</t>
  </si>
  <si>
    <t>Rb (m)</t>
  </si>
  <si>
    <t>DelV a</t>
  </si>
  <si>
    <t>DelV b</t>
  </si>
  <si>
    <t>Hohmann Transfer Delta-V (m/s)</t>
  </si>
  <si>
    <t>V at b</t>
  </si>
  <si>
    <t>Plane Change Delta -V (m/s)</t>
  </si>
  <si>
    <t>Delta-V to transfer from fairing to correct orbit, worst-case altitude change and plane change (m/s)</t>
  </si>
  <si>
    <t>Delta-V (m/s)</t>
  </si>
  <si>
    <t>Hoop stress, max pressure</t>
  </si>
  <si>
    <t>Diameter</t>
  </si>
  <si>
    <t>psi</t>
  </si>
  <si>
    <t>Mpa</t>
  </si>
  <si>
    <t>Tank Volume Calculations</t>
  </si>
  <si>
    <t>R</t>
  </si>
  <si>
    <t>J/kg/K</t>
  </si>
  <si>
    <t>Requirements Defined</t>
  </si>
  <si>
    <t>2. 8380 seconds of thrust</t>
  </si>
  <si>
    <t>3. Use a low reactivity gas</t>
  </si>
  <si>
    <t>4. Intermittent system operation as needed</t>
  </si>
  <si>
    <t>5. Gas storage at 298.15 K</t>
  </si>
  <si>
    <t>1. No losses in feed lines, valves, or regulators</t>
  </si>
  <si>
    <t>2. No pressure or mass flow losses in the nozzle</t>
  </si>
  <si>
    <t>3. Isentropic flow from the regulator to the nozzle exit</t>
  </si>
  <si>
    <t>4. intermittent operation allowing the gas in the storage tank and the feed lines to be isothermal at a temperature of 298.15 K</t>
  </si>
  <si>
    <t>Temp. (K)</t>
  </si>
  <si>
    <t xml:space="preserve">Tank Volume </t>
  </si>
  <si>
    <t>in.^3</t>
  </si>
  <si>
    <t>m^3</t>
  </si>
  <si>
    <t>Calculated Tank Volume (m^3)</t>
  </si>
  <si>
    <t>Physical Tank Volume, 1 tank (m^3)</t>
  </si>
  <si>
    <t>2 Tank Volume (m^3)</t>
  </si>
  <si>
    <t>4 Tank Volume (m^3)</t>
  </si>
  <si>
    <t>Xenon</t>
  </si>
  <si>
    <t>Propellant Required to Position in Correct Orbit</t>
  </si>
  <si>
    <t>Final Mass After Burn (kg)</t>
  </si>
  <si>
    <t>Mass Wet (kg)</t>
  </si>
  <si>
    <t>Mass Dry (kg)</t>
  </si>
  <si>
    <t>Density (kg/m^3)</t>
  </si>
  <si>
    <t>Material Volume</t>
  </si>
  <si>
    <t>Mass of Propellant For Correction Out of LV Fairing (kg)</t>
  </si>
  <si>
    <t>Altitude, m ±</t>
  </si>
  <si>
    <t>Total Propellant Mass After Margin (kg)</t>
  </si>
  <si>
    <t>Total Propellant Mass Before Margin (kg)</t>
  </si>
  <si>
    <t>Margin</t>
  </si>
  <si>
    <t>Concept</t>
  </si>
  <si>
    <t>Resistojet</t>
  </si>
  <si>
    <t>Arcjet</t>
  </si>
  <si>
    <t>Pulsed Plasma Thruster</t>
  </si>
  <si>
    <t>Hall Effect Thruster</t>
  </si>
  <si>
    <t>Ion Thruster</t>
  </si>
  <si>
    <t>Input Power (kW)</t>
  </si>
  <si>
    <t>Thrust/Power (mN/kW)</t>
  </si>
  <si>
    <t>Specific Mass (kg/kW)</t>
  </si>
  <si>
    <t>N2H4</t>
  </si>
  <si>
    <t>&gt;580</t>
  </si>
  <si>
    <t>NH3</t>
  </si>
  <si>
    <t>Teflon</t>
  </si>
  <si>
    <t>Number of Control Thrusters</t>
  </si>
  <si>
    <t>Total PPU power for Thrusters</t>
  </si>
  <si>
    <t>Low</t>
  </si>
  <si>
    <t>High</t>
  </si>
  <si>
    <t>Low (kW)</t>
  </si>
  <si>
    <t>High (kW)</t>
  </si>
  <si>
    <t>Solar Panel Area (m^2)</t>
  </si>
  <si>
    <t>Power Provided In Eclipse</t>
  </si>
  <si>
    <t>Period (sec.)</t>
  </si>
  <si>
    <t>Time in Daylight (Worst-Case)</t>
  </si>
  <si>
    <t>Time in Eclipse (Worst-Case)</t>
  </si>
  <si>
    <t>Power Provided in Daylight (kW)</t>
  </si>
  <si>
    <t>Power Required By the Bus (kW)</t>
  </si>
  <si>
    <t>Overall Power Margin</t>
  </si>
  <si>
    <t>Solar Array Power Needed</t>
  </si>
  <si>
    <t>Efficiency</t>
  </si>
  <si>
    <t>Design Constants</t>
  </si>
  <si>
    <t>MJ Power Density (W/m^2)</t>
  </si>
  <si>
    <t>Solar Panel Area Needed</t>
  </si>
  <si>
    <t>Low (m^2)</t>
  </si>
  <si>
    <t>High (m^2)</t>
  </si>
  <si>
    <t>% OSR</t>
  </si>
  <si>
    <t>Candidates</t>
  </si>
  <si>
    <t>Parameters for Various Propellants</t>
  </si>
  <si>
    <t>Launch Vehicle Insertion Accuracies</t>
  </si>
  <si>
    <t>Component Listing</t>
  </si>
  <si>
    <t>ADN Monoprop</t>
  </si>
  <si>
    <t>Cold Gas Thruster Design</t>
  </si>
  <si>
    <t>Thrust Required (N)</t>
  </si>
  <si>
    <t>Nominal and Worst Case Mass Flow Rates For Both Orbit Types (kg/s)</t>
  </si>
  <si>
    <t>Thruster Throat Diameter (cm)</t>
  </si>
  <si>
    <t>Thruster Throat Area (m^2)</t>
  </si>
  <si>
    <t>Thruster Exit Area (m^2)</t>
  </si>
  <si>
    <t>Thruster Exit Diameter (cm)</t>
  </si>
  <si>
    <t>Thruster Expansion Ratio</t>
  </si>
  <si>
    <t>Thruster Regulated Pressure (Pa)</t>
  </si>
  <si>
    <t>Typical schematic for the cold gas propulsion system will be a pressurized tank, leading to a fill/vent valve, leading to a filter, leading to a thruster.  This is repeated 4 times for each tank.</t>
  </si>
  <si>
    <t>Mass</t>
  </si>
  <si>
    <t>Number</t>
  </si>
  <si>
    <t>Total (kg)</t>
  </si>
  <si>
    <t>Mass per (kg)</t>
  </si>
  <si>
    <t>6AL-4V Titanium Tank</t>
  </si>
  <si>
    <t>Tank Mass</t>
  </si>
  <si>
    <t>lbs</t>
  </si>
  <si>
    <t>Density</t>
  </si>
  <si>
    <t>kg/m^3</t>
  </si>
  <si>
    <t>lb/in^3</t>
  </si>
  <si>
    <t>VACCO Industries P/N V1D10874-01</t>
  </si>
  <si>
    <t>Possible Types</t>
  </si>
  <si>
    <t>VACCO Industries P/N V1E10430-01</t>
  </si>
  <si>
    <t>VACCO P/N F1D10744-01</t>
  </si>
  <si>
    <t>VACCO P/N F1D10675-01</t>
  </si>
  <si>
    <t>Thrusters</t>
  </si>
  <si>
    <t>1. 15 N thrust total in a vacuum</t>
  </si>
  <si>
    <t>possibly for heaters</t>
  </si>
  <si>
    <t>none</t>
  </si>
  <si>
    <t>Power Required (if any), W</t>
  </si>
  <si>
    <t>Moog 58-118</t>
  </si>
  <si>
    <t>Moog 50-820</t>
  </si>
  <si>
    <t>Lines</t>
  </si>
  <si>
    <t>Flow Control Valves</t>
  </si>
  <si>
    <t>Pressurant Tanks</t>
  </si>
  <si>
    <t>Regulators</t>
  </si>
  <si>
    <t>Propellant Tanks</t>
  </si>
  <si>
    <t>High Pressure Fill and Drain Valves</t>
  </si>
  <si>
    <t>Filters</t>
  </si>
  <si>
    <t xml:space="preserve">Northrop Grumman MRE-1.0 </t>
  </si>
  <si>
    <t>Northrop Grumman MRE-4.0</t>
  </si>
  <si>
    <t>Pressurant Tanks (dry)</t>
  </si>
  <si>
    <t>Propellant Tanks (dry)</t>
  </si>
  <si>
    <t>Astrium Helium Pressure Regulator</t>
  </si>
  <si>
    <t>Totals Before Margin</t>
  </si>
  <si>
    <t>Totals After Margin</t>
  </si>
  <si>
    <t>PPU</t>
  </si>
  <si>
    <t>EO-1 PPT</t>
  </si>
  <si>
    <t>Uses 2 pressurant tanks, 2 propellant tanks</t>
  </si>
  <si>
    <t>Uses 3 pressurant tanks and 1 propellant tank</t>
  </si>
  <si>
    <t>Solar Panel Area Generating Power</t>
  </si>
  <si>
    <t>Number of Freedom Axis</t>
  </si>
  <si>
    <t>0.08 - 0.5 kW per thruster (low end)</t>
  </si>
  <si>
    <t>0.08 - 0.5 kW per thruster (high end)</t>
  </si>
  <si>
    <t>Pulsed Plasma Thrusters</t>
  </si>
  <si>
    <t>Criteria</t>
  </si>
  <si>
    <t>Safety</t>
  </si>
  <si>
    <t>Complexity</t>
  </si>
  <si>
    <t>Weights</t>
  </si>
  <si>
    <t>Scale</t>
  </si>
  <si>
    <t>1 = Least Supportive 3 = Most Supportive</t>
  </si>
  <si>
    <t>1 = Least Safe 3 = Most Safe</t>
  </si>
  <si>
    <t>1 = Most Complex 3 = Least Complex</t>
  </si>
  <si>
    <t>Mission Architectures</t>
  </si>
  <si>
    <t>Weighted Totals in %</t>
  </si>
  <si>
    <t>Perfect Score Points</t>
  </si>
  <si>
    <t>Cold Gas Primary / Pulsed Plasma Thrusters For Slew Maneuvers</t>
  </si>
  <si>
    <t>ADN Monoprop Primary / Cold Gas For Slew Maneuvers</t>
  </si>
  <si>
    <t>ADN Monoprop Primary / Pulsed Plasma Thrusters For Slew Maneuvers</t>
  </si>
  <si>
    <t>Pulsed Plasma Thrusters Primary / Cold Gas For Slew Maneuvers</t>
  </si>
  <si>
    <t>Pulsed Plasma Thrusters Primary / ADN Monoprop For Slew Meneuvers</t>
  </si>
  <si>
    <t>Cold Gas Primary / ADN Monoprop For Slew Maneuvers</t>
  </si>
  <si>
    <t>1 = Most Massive 3 = Least Massive</t>
  </si>
  <si>
    <t>Trade Study</t>
  </si>
  <si>
    <t>Trade Study On All Candidates</t>
  </si>
  <si>
    <t>Trade Study On Top Candidates</t>
  </si>
  <si>
    <t>Mission Risk</t>
  </si>
  <si>
    <t>Estimated Propulsion System Cost</t>
  </si>
  <si>
    <t>Meets General Requirements</t>
  </si>
  <si>
    <t>Effects On Other Subsystems</t>
  </si>
  <si>
    <t>1 = Most Risky 3 = Least Risky</t>
  </si>
  <si>
    <t>1 = Most Expensive 3 = Least Expensive</t>
  </si>
  <si>
    <t>1 = Effects A Lot 3 = Minimal Effects</t>
  </si>
  <si>
    <t>Orbit Type</t>
  </si>
  <si>
    <t>Propulsion Type</t>
  </si>
  <si>
    <t>Trend Plots</t>
  </si>
  <si>
    <t>Mission Length (Years)</t>
  </si>
  <si>
    <t>Mass of Propellant For Correction Out of LV Fairing After Margin (kg)</t>
  </si>
  <si>
    <t>Margin (%)</t>
  </si>
  <si>
    <t>Propulsion Subsystem Sizing</t>
  </si>
  <si>
    <t>csp-cp offset (m)</t>
  </si>
  <si>
    <t>RAAN, deg. ±</t>
  </si>
  <si>
    <t>Time For Slew Maneuver (min.)</t>
  </si>
  <si>
    <t>Tank Volumes</t>
  </si>
  <si>
    <t>Cold Gas Components</t>
  </si>
  <si>
    <t>Propellant / Pressurant Tanks (dry)</t>
  </si>
  <si>
    <t>ADN Monoprop Components</t>
  </si>
  <si>
    <t>PPT/Ion Thrusters Components</t>
  </si>
  <si>
    <t>Pulsed Plasma Thrusters Primary / ADN Monoprop For Slew Maneuvers</t>
  </si>
  <si>
    <t>GREEN HAN/Methanol, 26% water</t>
  </si>
  <si>
    <t>GREEN HAN/methanol, 26% water</t>
  </si>
  <si>
    <t>Astrium Electromagnetic PPU</t>
  </si>
  <si>
    <t>Propellant Mass Worst-Case (kg)</t>
  </si>
  <si>
    <t>Tank Volume Worst-Case (m^3)</t>
  </si>
  <si>
    <t>Time for Slew Maneuver (min)</t>
  </si>
  <si>
    <t>Number of Momentum Dumping Maneuvers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</si>
</sst>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"/>
    <numFmt numFmtId="165" formatCode="0.000"/>
    <numFmt numFmtId="166" formatCode="0.00000"/>
    <numFmt numFmtId="167" formatCode="0.0000"/>
    <numFmt numFmtId="168" formatCode="0.000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7030A0"/>
      <name val="Calibri"/>
      <family val="2"/>
      <scheme val="minor"/>
    </font>
    <font>
      <b/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1" fillId="0" borderId="0" xfId="0" applyFont="1"/>
    <xf numFmtId="0" fontId="0" fillId="0" borderId="0" xfId="0" applyBorder="1"/>
    <xf numFmtId="0" fontId="4" fillId="0" borderId="0" xfId="0" applyFont="1"/>
    <xf numFmtId="0" fontId="0" fillId="0" borderId="3" xfId="0" applyBorder="1"/>
    <xf numFmtId="0" fontId="0" fillId="3" borderId="1" xfId="0" applyFill="1" applyBorder="1"/>
    <xf numFmtId="0" fontId="0" fillId="4" borderId="1" xfId="0" applyFill="1" applyBorder="1"/>
    <xf numFmtId="0" fontId="1" fillId="4" borderId="1" xfId="0" applyFont="1" applyFill="1" applyBorder="1"/>
    <xf numFmtId="11" fontId="0" fillId="4" borderId="1" xfId="0" applyNumberFormat="1" applyFill="1" applyBorder="1"/>
    <xf numFmtId="0" fontId="0" fillId="0" borderId="23" xfId="0" applyBorder="1"/>
    <xf numFmtId="0" fontId="0" fillId="0" borderId="26" xfId="0" applyBorder="1"/>
    <xf numFmtId="0" fontId="8" fillId="0" borderId="22" xfId="0" applyFont="1" applyBorder="1"/>
    <xf numFmtId="0" fontId="1" fillId="0" borderId="0" xfId="0" applyFont="1" applyAlignment="1">
      <alignment wrapText="1"/>
    </xf>
    <xf numFmtId="2" fontId="0" fillId="4" borderId="1" xfId="0" applyNumberFormat="1" applyFill="1" applyBorder="1"/>
    <xf numFmtId="0" fontId="1" fillId="0" borderId="0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165" fontId="0" fillId="4" borderId="1" xfId="0" applyNumberFormat="1" applyFill="1" applyBorder="1"/>
    <xf numFmtId="165" fontId="0" fillId="3" borderId="1" xfId="0" applyNumberFormat="1" applyFill="1" applyBorder="1"/>
    <xf numFmtId="0" fontId="0" fillId="0" borderId="0" xfId="0"/>
    <xf numFmtId="11" fontId="0" fillId="0" borderId="0" xfId="0" applyNumberFormat="1"/>
    <xf numFmtId="0" fontId="1" fillId="0" borderId="0" xfId="0" applyFont="1"/>
    <xf numFmtId="2" fontId="0" fillId="4" borderId="1" xfId="0" applyNumberFormat="1" applyFill="1" applyBorder="1" applyAlignment="1">
      <alignment wrapText="1"/>
    </xf>
    <xf numFmtId="2" fontId="0" fillId="3" borderId="1" xfId="0" applyNumberFormat="1" applyFill="1" applyBorder="1"/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 applyAlignment="1">
      <alignment wrapText="1"/>
    </xf>
    <xf numFmtId="11" fontId="0" fillId="0" borderId="0" xfId="0" applyNumberFormat="1"/>
    <xf numFmtId="0" fontId="1" fillId="0" borderId="0" xfId="0" applyFont="1"/>
    <xf numFmtId="0" fontId="0" fillId="0" borderId="0" xfId="0" applyAlignment="1"/>
    <xf numFmtId="0" fontId="0" fillId="4" borderId="1" xfId="0" applyFill="1" applyBorder="1" applyAlignment="1"/>
    <xf numFmtId="0" fontId="0" fillId="4" borderId="1" xfId="0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/>
    </xf>
    <xf numFmtId="166" fontId="0" fillId="4" borderId="1" xfId="0" applyNumberFormat="1" applyFill="1" applyBorder="1" applyAlignment="1">
      <alignment vertical="top"/>
    </xf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Border="1"/>
    <xf numFmtId="0" fontId="0" fillId="2" borderId="1" xfId="0" applyFill="1" applyBorder="1"/>
    <xf numFmtId="0" fontId="0" fillId="0" borderId="1" xfId="0" applyFill="1" applyBorder="1"/>
    <xf numFmtId="0" fontId="0" fillId="0" borderId="0" xfId="0" applyAlignment="1">
      <alignment vertical="top" wrapText="1"/>
    </xf>
    <xf numFmtId="0" fontId="0" fillId="0" borderId="0" xfId="0" applyFill="1" applyBorder="1"/>
    <xf numFmtId="0" fontId="1" fillId="4" borderId="1" xfId="0" applyFont="1" applyFill="1" applyBorder="1" applyAlignment="1">
      <alignment wrapText="1"/>
    </xf>
    <xf numFmtId="165" fontId="0" fillId="4" borderId="1" xfId="0" applyNumberFormat="1" applyFill="1" applyBorder="1" applyAlignment="1">
      <alignment wrapText="1"/>
    </xf>
    <xf numFmtId="167" fontId="1" fillId="4" borderId="1" xfId="0" applyNumberFormat="1" applyFont="1" applyFill="1" applyBorder="1" applyAlignment="1">
      <alignment wrapText="1"/>
    </xf>
    <xf numFmtId="167" fontId="0" fillId="4" borderId="1" xfId="0" applyNumberFormat="1" applyFill="1" applyBorder="1"/>
    <xf numFmtId="167" fontId="0" fillId="4" borderId="1" xfId="0" applyNumberFormat="1" applyFill="1" applyBorder="1" applyAlignment="1">
      <alignment wrapText="1"/>
    </xf>
    <xf numFmtId="167" fontId="1" fillId="4" borderId="1" xfId="0" applyNumberFormat="1" applyFont="1" applyFill="1" applyBorder="1"/>
    <xf numFmtId="0" fontId="0" fillId="0" borderId="31" xfId="0" applyFill="1" applyBorder="1"/>
    <xf numFmtId="165" fontId="1" fillId="4" borderId="1" xfId="0" applyNumberFormat="1" applyFont="1" applyFill="1" applyBorder="1"/>
    <xf numFmtId="165" fontId="1" fillId="4" borderId="1" xfId="0" applyNumberFormat="1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165" fontId="0" fillId="4" borderId="6" xfId="0" applyNumberFormat="1" applyFill="1" applyBorder="1"/>
    <xf numFmtId="0" fontId="1" fillId="4" borderId="5" xfId="0" applyFont="1" applyFill="1" applyBorder="1"/>
    <xf numFmtId="0" fontId="0" fillId="4" borderId="8" xfId="0" applyFill="1" applyBorder="1"/>
    <xf numFmtId="0" fontId="0" fillId="4" borderId="9" xfId="0" applyFill="1" applyBorder="1"/>
    <xf numFmtId="0" fontId="1" fillId="4" borderId="2" xfId="0" applyFont="1" applyFill="1" applyBorder="1"/>
    <xf numFmtId="0" fontId="0" fillId="4" borderId="7" xfId="0" applyFill="1" applyBorder="1"/>
    <xf numFmtId="11" fontId="0" fillId="4" borderId="6" xfId="0" applyNumberFormat="1" applyFill="1" applyBorder="1"/>
    <xf numFmtId="0" fontId="0" fillId="2" borderId="33" xfId="0" applyFill="1" applyBorder="1" applyAlignment="1">
      <alignment wrapText="1"/>
    </xf>
    <xf numFmtId="0" fontId="0" fillId="2" borderId="33" xfId="0" applyFill="1" applyBorder="1" applyAlignment="1"/>
    <xf numFmtId="0" fontId="0" fillId="2" borderId="34" xfId="0" applyFill="1" applyBorder="1" applyAlignment="1"/>
    <xf numFmtId="0" fontId="0" fillId="2" borderId="34" xfId="0" applyFill="1" applyBorder="1" applyAlignment="1">
      <alignment wrapText="1"/>
    </xf>
    <xf numFmtId="0" fontId="8" fillId="0" borderId="22" xfId="0" applyFont="1" applyBorder="1" applyAlignment="1">
      <alignment wrapText="1"/>
    </xf>
    <xf numFmtId="0" fontId="0" fillId="5" borderId="35" xfId="0" applyFill="1" applyBorder="1"/>
    <xf numFmtId="0" fontId="0" fillId="5" borderId="36" xfId="0" applyFill="1" applyBorder="1" applyAlignment="1">
      <alignment wrapText="1"/>
    </xf>
    <xf numFmtId="0" fontId="0" fillId="5" borderId="27" xfId="0" applyFill="1" applyBorder="1" applyAlignment="1">
      <alignment wrapText="1"/>
    </xf>
    <xf numFmtId="0" fontId="0" fillId="5" borderId="36" xfId="0" applyFill="1" applyBorder="1"/>
    <xf numFmtId="0" fontId="0" fillId="5" borderId="27" xfId="0" applyFill="1" applyBorder="1"/>
    <xf numFmtId="0" fontId="0" fillId="4" borderId="2" xfId="0" applyFill="1" applyBorder="1"/>
    <xf numFmtId="0" fontId="0" fillId="4" borderId="3" xfId="0" applyFill="1" applyBorder="1" applyAlignment="1">
      <alignment wrapText="1"/>
    </xf>
    <xf numFmtId="0" fontId="0" fillId="4" borderId="4" xfId="0" applyFill="1" applyBorder="1" applyAlignment="1">
      <alignment wrapText="1"/>
    </xf>
    <xf numFmtId="2" fontId="0" fillId="4" borderId="2" xfId="0" applyNumberFormat="1" applyFill="1" applyBorder="1"/>
    <xf numFmtId="2" fontId="0" fillId="4" borderId="3" xfId="0" applyNumberFormat="1" applyFill="1" applyBorder="1"/>
    <xf numFmtId="2" fontId="0" fillId="4" borderId="4" xfId="0" applyNumberFormat="1" applyFill="1" applyBorder="1"/>
    <xf numFmtId="2" fontId="0" fillId="4" borderId="5" xfId="0" applyNumberFormat="1" applyFill="1" applyBorder="1"/>
    <xf numFmtId="2" fontId="0" fillId="4" borderId="6" xfId="0" applyNumberFormat="1" applyFill="1" applyBorder="1"/>
    <xf numFmtId="2" fontId="0" fillId="4" borderId="7" xfId="0" applyNumberFormat="1" applyFill="1" applyBorder="1"/>
    <xf numFmtId="2" fontId="0" fillId="4" borderId="8" xfId="0" applyNumberFormat="1" applyFill="1" applyBorder="1"/>
    <xf numFmtId="2" fontId="0" fillId="4" borderId="9" xfId="0" applyNumberFormat="1" applyFill="1" applyBorder="1"/>
    <xf numFmtId="0" fontId="0" fillId="4" borderId="10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3" xfId="0" applyFill="1" applyBorder="1"/>
    <xf numFmtId="0" fontId="0" fillId="4" borderId="18" xfId="0" applyFill="1" applyBorder="1"/>
    <xf numFmtId="0" fontId="0" fillId="4" borderId="14" xfId="0" applyFill="1" applyBorder="1"/>
    <xf numFmtId="166" fontId="0" fillId="4" borderId="1" xfId="0" applyNumberFormat="1" applyFill="1" applyBorder="1"/>
    <xf numFmtId="2" fontId="1" fillId="4" borderId="1" xfId="0" applyNumberFormat="1" applyFont="1" applyFill="1" applyBorder="1"/>
    <xf numFmtId="0" fontId="0" fillId="0" borderId="0" xfId="0" applyBorder="1" applyAlignment="1">
      <alignment wrapText="1"/>
    </xf>
    <xf numFmtId="0" fontId="0" fillId="4" borderId="11" xfId="0" applyFill="1" applyBorder="1"/>
    <xf numFmtId="0" fontId="11" fillId="7" borderId="22" xfId="0" applyFont="1" applyFill="1" applyBorder="1"/>
    <xf numFmtId="0" fontId="0" fillId="4" borderId="37" xfId="0" applyFill="1" applyBorder="1"/>
    <xf numFmtId="0" fontId="0" fillId="4" borderId="38" xfId="0" applyFill="1" applyBorder="1"/>
    <xf numFmtId="0" fontId="1" fillId="4" borderId="3" xfId="0" applyFont="1" applyFill="1" applyBorder="1"/>
    <xf numFmtId="0" fontId="0" fillId="4" borderId="12" xfId="0" applyFill="1" applyBorder="1"/>
    <xf numFmtId="0" fontId="0" fillId="4" borderId="19" xfId="0" applyFill="1" applyBorder="1"/>
    <xf numFmtId="0" fontId="0" fillId="4" borderId="15" xfId="0" applyFill="1" applyBorder="1"/>
    <xf numFmtId="0" fontId="1" fillId="4" borderId="17" xfId="0" applyFont="1" applyFill="1" applyBorder="1"/>
    <xf numFmtId="11" fontId="0" fillId="4" borderId="0" xfId="0" applyNumberFormat="1" applyFill="1" applyBorder="1"/>
    <xf numFmtId="11" fontId="0" fillId="4" borderId="13" xfId="0" applyNumberFormat="1" applyFill="1" applyBorder="1"/>
    <xf numFmtId="0" fontId="1" fillId="4" borderId="20" xfId="0" applyFont="1" applyFill="1" applyBorder="1"/>
    <xf numFmtId="0" fontId="1" fillId="4" borderId="21" xfId="0" applyFont="1" applyFill="1" applyBorder="1"/>
    <xf numFmtId="0" fontId="1" fillId="4" borderId="28" xfId="0" applyFont="1" applyFill="1" applyBorder="1"/>
    <xf numFmtId="11" fontId="0" fillId="4" borderId="26" xfId="0" applyNumberFormat="1" applyFill="1" applyBorder="1"/>
    <xf numFmtId="11" fontId="0" fillId="4" borderId="29" xfId="0" applyNumberFormat="1" applyFill="1" applyBorder="1"/>
    <xf numFmtId="0" fontId="0" fillId="0" borderId="0" xfId="0" applyFill="1"/>
    <xf numFmtId="0" fontId="0" fillId="3" borderId="22" xfId="0" applyFill="1" applyBorder="1" applyAlignment="1">
      <alignment wrapText="1"/>
    </xf>
    <xf numFmtId="168" fontId="0" fillId="4" borderId="1" xfId="0" applyNumberFormat="1" applyFill="1" applyBorder="1"/>
    <xf numFmtId="0" fontId="7" fillId="4" borderId="0" xfId="0" applyFont="1" applyFill="1"/>
    <xf numFmtId="0" fontId="0" fillId="4" borderId="1" xfId="0" applyFill="1" applyBorder="1" applyAlignment="1">
      <alignment horizontal="center"/>
    </xf>
    <xf numFmtId="0" fontId="10" fillId="7" borderId="22" xfId="0" applyFont="1" applyFill="1" applyBorder="1" applyAlignment="1">
      <alignment wrapText="1"/>
    </xf>
    <xf numFmtId="0" fontId="1" fillId="4" borderId="23" xfId="0" applyFont="1" applyFill="1" applyBorder="1"/>
    <xf numFmtId="165" fontId="0" fillId="4" borderId="23" xfId="0" applyNumberFormat="1" applyFill="1" applyBorder="1"/>
    <xf numFmtId="0" fontId="1" fillId="4" borderId="3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0" fillId="4" borderId="6" xfId="0" applyFill="1" applyBorder="1" applyAlignment="1">
      <alignment wrapText="1"/>
    </xf>
    <xf numFmtId="0" fontId="1" fillId="4" borderId="5" xfId="0" applyFont="1" applyFill="1" applyBorder="1" applyAlignment="1">
      <alignment wrapText="1"/>
    </xf>
    <xf numFmtId="0" fontId="0" fillId="4" borderId="1" xfId="0" applyFill="1" applyBorder="1" applyAlignment="1">
      <alignment vertical="top" wrapText="1"/>
    </xf>
    <xf numFmtId="165" fontId="0" fillId="4" borderId="1" xfId="0" applyNumberFormat="1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1" fillId="4" borderId="4" xfId="0" applyFont="1" applyFill="1" applyBorder="1"/>
    <xf numFmtId="0" fontId="1" fillId="4" borderId="7" xfId="0" applyFont="1" applyFill="1" applyBorder="1"/>
    <xf numFmtId="165" fontId="0" fillId="4" borderId="8" xfId="0" applyNumberFormat="1" applyFill="1" applyBorder="1"/>
    <xf numFmtId="0" fontId="0" fillId="4" borderId="11" xfId="0" applyFill="1" applyBorder="1" applyAlignment="1">
      <alignment vertical="top" wrapText="1"/>
    </xf>
    <xf numFmtId="165" fontId="0" fillId="4" borderId="11" xfId="0" applyNumberFormat="1" applyFill="1" applyBorder="1" applyAlignment="1">
      <alignment vertical="top" wrapText="1"/>
    </xf>
    <xf numFmtId="0" fontId="0" fillId="4" borderId="19" xfId="0" applyFill="1" applyBorder="1" applyAlignment="1">
      <alignment horizontal="center" vertical="top" wrapText="1"/>
    </xf>
    <xf numFmtId="165" fontId="1" fillId="4" borderId="8" xfId="0" applyNumberFormat="1" applyFont="1" applyFill="1" applyBorder="1"/>
    <xf numFmtId="0" fontId="1" fillId="4" borderId="8" xfId="0" applyFont="1" applyFill="1" applyBorder="1"/>
    <xf numFmtId="2" fontId="1" fillId="4" borderId="5" xfId="0" applyNumberFormat="1" applyFont="1" applyFill="1" applyBorder="1" applyAlignment="1">
      <alignment wrapText="1"/>
    </xf>
    <xf numFmtId="0" fontId="1" fillId="4" borderId="7" xfId="0" applyFont="1" applyFill="1" applyBorder="1" applyAlignment="1">
      <alignment wrapText="1"/>
    </xf>
    <xf numFmtId="11" fontId="0" fillId="4" borderId="9" xfId="0" applyNumberFormat="1" applyFill="1" applyBorder="1"/>
    <xf numFmtId="0" fontId="0" fillId="2" borderId="41" xfId="0" applyFill="1" applyBorder="1"/>
    <xf numFmtId="0" fontId="1" fillId="4" borderId="42" xfId="0" applyFont="1" applyFill="1" applyBorder="1"/>
    <xf numFmtId="0" fontId="0" fillId="4" borderId="43" xfId="0" applyFill="1" applyBorder="1"/>
    <xf numFmtId="0" fontId="6" fillId="2" borderId="41" xfId="0" applyFont="1" applyFill="1" applyBorder="1" applyAlignment="1">
      <alignment wrapText="1"/>
    </xf>
    <xf numFmtId="0" fontId="0" fillId="4" borderId="42" xfId="0" applyFill="1" applyBorder="1"/>
    <xf numFmtId="11" fontId="0" fillId="4" borderId="8" xfId="0" applyNumberFormat="1" applyFill="1" applyBorder="1"/>
    <xf numFmtId="0" fontId="0" fillId="4" borderId="2" xfId="0" applyFont="1" applyFill="1" applyBorder="1"/>
    <xf numFmtId="0" fontId="0" fillId="4" borderId="5" xfId="0" applyFont="1" applyFill="1" applyBorder="1"/>
    <xf numFmtId="0" fontId="0" fillId="4" borderId="7" xfId="0" applyFont="1" applyFill="1" applyBorder="1"/>
    <xf numFmtId="0" fontId="1" fillId="4" borderId="44" xfId="0" applyFont="1" applyFill="1" applyBorder="1"/>
    <xf numFmtId="2" fontId="0" fillId="4" borderId="44" xfId="0" applyNumberFormat="1" applyFill="1" applyBorder="1"/>
    <xf numFmtId="0" fontId="1" fillId="4" borderId="45" xfId="0" applyFont="1" applyFill="1" applyBorder="1"/>
    <xf numFmtId="0" fontId="1" fillId="4" borderId="43" xfId="0" applyFont="1" applyFill="1" applyBorder="1"/>
    <xf numFmtId="164" fontId="0" fillId="4" borderId="8" xfId="0" applyNumberFormat="1" applyFill="1" applyBorder="1"/>
    <xf numFmtId="164" fontId="0" fillId="4" borderId="9" xfId="0" applyNumberFormat="1" applyFill="1" applyBorder="1"/>
    <xf numFmtId="165" fontId="0" fillId="3" borderId="8" xfId="0" applyNumberFormat="1" applyFill="1" applyBorder="1"/>
    <xf numFmtId="165" fontId="0" fillId="3" borderId="9" xfId="0" applyNumberFormat="1" applyFill="1" applyBorder="1"/>
    <xf numFmtId="0" fontId="1" fillId="3" borderId="7" xfId="0" applyFont="1" applyFill="1" applyBorder="1"/>
    <xf numFmtId="165" fontId="0" fillId="4" borderId="9" xfId="0" applyNumberFormat="1" applyFill="1" applyBorder="1"/>
    <xf numFmtId="0" fontId="0" fillId="0" borderId="30" xfId="0" applyFill="1" applyBorder="1"/>
    <xf numFmtId="0" fontId="0" fillId="4" borderId="8" xfId="0" applyFill="1" applyBorder="1" applyAlignment="1">
      <alignment wrapText="1"/>
    </xf>
    <xf numFmtId="0" fontId="1" fillId="0" borderId="2" xfId="0" applyFont="1" applyBorder="1"/>
    <xf numFmtId="165" fontId="0" fillId="3" borderId="6" xfId="0" applyNumberFormat="1" applyFill="1" applyBorder="1"/>
    <xf numFmtId="0" fontId="1" fillId="5" borderId="32" xfId="0" applyFont="1" applyFill="1" applyBorder="1" applyAlignment="1">
      <alignment wrapText="1"/>
    </xf>
    <xf numFmtId="0" fontId="0" fillId="5" borderId="32" xfId="0" applyFill="1" applyBorder="1" applyAlignment="1">
      <alignment wrapText="1"/>
    </xf>
    <xf numFmtId="165" fontId="0" fillId="4" borderId="6" xfId="0" applyNumberFormat="1" applyFill="1" applyBorder="1" applyAlignment="1">
      <alignment wrapText="1"/>
    </xf>
    <xf numFmtId="0" fontId="8" fillId="0" borderId="18" xfId="0" applyFont="1" applyBorder="1" applyAlignment="1">
      <alignment wrapText="1"/>
    </xf>
    <xf numFmtId="2" fontId="0" fillId="3" borderId="11" xfId="0" applyNumberFormat="1" applyFill="1" applyBorder="1"/>
    <xf numFmtId="165" fontId="0" fillId="3" borderId="11" xfId="0" applyNumberFormat="1" applyFill="1" applyBorder="1"/>
    <xf numFmtId="165" fontId="0" fillId="3" borderId="19" xfId="0" applyNumberFormat="1" applyFill="1" applyBorder="1"/>
    <xf numFmtId="0" fontId="1" fillId="4" borderId="42" xfId="0" applyFont="1" applyFill="1" applyBorder="1" applyAlignment="1">
      <alignment wrapText="1"/>
    </xf>
    <xf numFmtId="0" fontId="0" fillId="4" borderId="45" xfId="0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" fillId="5" borderId="4" xfId="0" applyFont="1" applyFill="1" applyBorder="1" applyAlignment="1">
      <alignment wrapText="1"/>
    </xf>
    <xf numFmtId="0" fontId="0" fillId="5" borderId="6" xfId="0" applyFill="1" applyBorder="1"/>
    <xf numFmtId="0" fontId="1" fillId="6" borderId="1" xfId="0" applyFont="1" applyFill="1" applyBorder="1" applyAlignment="1">
      <alignment wrapText="1"/>
    </xf>
    <xf numFmtId="0" fontId="10" fillId="7" borderId="35" xfId="0" applyFont="1" applyFill="1" applyBorder="1"/>
    <xf numFmtId="0" fontId="14" fillId="7" borderId="22" xfId="0" applyFont="1" applyFill="1" applyBorder="1" applyAlignment="1">
      <alignment wrapText="1"/>
    </xf>
    <xf numFmtId="0" fontId="10" fillId="7" borderId="22" xfId="0" applyFont="1" applyFill="1" applyBorder="1"/>
    <xf numFmtId="0" fontId="0" fillId="0" borderId="5" xfId="0" applyBorder="1"/>
    <xf numFmtId="165" fontId="0" fillId="4" borderId="4" xfId="0" applyNumberFormat="1" applyFill="1" applyBorder="1"/>
    <xf numFmtId="0" fontId="0" fillId="8" borderId="1" xfId="0" applyFill="1" applyBorder="1"/>
    <xf numFmtId="0" fontId="0" fillId="8" borderId="5" xfId="0" applyFill="1" applyBorder="1"/>
    <xf numFmtId="0" fontId="0" fillId="8" borderId="7" xfId="0" applyFill="1" applyBorder="1"/>
    <xf numFmtId="0" fontId="1" fillId="5" borderId="2" xfId="0" applyFont="1" applyFill="1" applyBorder="1"/>
    <xf numFmtId="0" fontId="0" fillId="5" borderId="3" xfId="0" applyFill="1" applyBorder="1"/>
    <xf numFmtId="0" fontId="0" fillId="5" borderId="4" xfId="0" applyFill="1" applyBorder="1"/>
    <xf numFmtId="0" fontId="0" fillId="4" borderId="1" xfId="0" applyFont="1" applyFill="1" applyBorder="1"/>
    <xf numFmtId="0" fontId="0" fillId="4" borderId="6" xfId="0" applyFont="1" applyFill="1" applyBorder="1"/>
    <xf numFmtId="0" fontId="0" fillId="4" borderId="8" xfId="0" applyFont="1" applyFill="1" applyBorder="1"/>
    <xf numFmtId="0" fontId="0" fillId="4" borderId="9" xfId="0" applyFont="1" applyFill="1" applyBorder="1"/>
    <xf numFmtId="0" fontId="1" fillId="5" borderId="3" xfId="0" applyFont="1" applyFill="1" applyBorder="1"/>
    <xf numFmtId="0" fontId="1" fillId="5" borderId="4" xfId="0" applyFont="1" applyFill="1" applyBorder="1"/>
    <xf numFmtId="0" fontId="1" fillId="8" borderId="5" xfId="0" applyFont="1" applyFill="1" applyBorder="1"/>
    <xf numFmtId="0" fontId="1" fillId="4" borderId="6" xfId="0" applyFont="1" applyFill="1" applyBorder="1"/>
    <xf numFmtId="0" fontId="1" fillId="8" borderId="7" xfId="0" applyFont="1" applyFill="1" applyBorder="1"/>
    <xf numFmtId="0" fontId="0" fillId="4" borderId="6" xfId="0" applyFont="1" applyFill="1" applyBorder="1" applyAlignment="1">
      <alignment horizontal="center"/>
    </xf>
    <xf numFmtId="0" fontId="0" fillId="8" borderId="5" xfId="0" applyFill="1" applyBorder="1" applyAlignment="1">
      <alignment wrapText="1"/>
    </xf>
    <xf numFmtId="0" fontId="1" fillId="8" borderId="5" xfId="0" applyFont="1" applyFill="1" applyBorder="1" applyAlignment="1">
      <alignment wrapText="1"/>
    </xf>
    <xf numFmtId="0" fontId="1" fillId="8" borderId="7" xfId="0" applyFont="1" applyFill="1" applyBorder="1" applyAlignment="1">
      <alignment wrapText="1"/>
    </xf>
    <xf numFmtId="0" fontId="1" fillId="5" borderId="2" xfId="0" applyFont="1" applyFill="1" applyBorder="1" applyAlignment="1">
      <alignment wrapText="1"/>
    </xf>
    <xf numFmtId="165" fontId="1" fillId="4" borderId="6" xfId="0" applyNumberFormat="1" applyFont="1" applyFill="1" applyBorder="1"/>
    <xf numFmtId="0" fontId="0" fillId="5" borderId="2" xfId="0" applyFill="1" applyBorder="1"/>
    <xf numFmtId="0" fontId="0" fillId="8" borderId="12" xfId="0" applyFill="1" applyBorder="1"/>
    <xf numFmtId="0" fontId="0" fillId="5" borderId="1" xfId="0" applyFill="1" applyBorder="1"/>
    <xf numFmtId="0" fontId="1" fillId="8" borderId="1" xfId="0" applyFont="1" applyFill="1" applyBorder="1"/>
    <xf numFmtId="0" fontId="5" fillId="5" borderId="2" xfId="0" applyFont="1" applyFill="1" applyBorder="1"/>
    <xf numFmtId="0" fontId="0" fillId="5" borderId="1" xfId="0" applyFill="1" applyBorder="1" applyAlignment="1"/>
    <xf numFmtId="0" fontId="1" fillId="5" borderId="1" xfId="0" applyFont="1" applyFill="1" applyBorder="1" applyAlignment="1"/>
    <xf numFmtId="0" fontId="1" fillId="8" borderId="21" xfId="0" applyFont="1" applyFill="1" applyBorder="1"/>
    <xf numFmtId="0" fontId="1" fillId="8" borderId="2" xfId="0" applyFont="1" applyFill="1" applyBorder="1"/>
    <xf numFmtId="2" fontId="0" fillId="4" borderId="3" xfId="0" applyNumberFormat="1" applyFill="1" applyBorder="1" applyAlignment="1">
      <alignment wrapText="1"/>
    </xf>
    <xf numFmtId="0" fontId="1" fillId="8" borderId="12" xfId="0" applyFont="1" applyFill="1" applyBorder="1"/>
    <xf numFmtId="2" fontId="0" fillId="4" borderId="11" xfId="0" applyNumberFormat="1" applyFill="1" applyBorder="1" applyAlignment="1">
      <alignment wrapText="1"/>
    </xf>
    <xf numFmtId="2" fontId="0" fillId="4" borderId="19" xfId="0" applyNumberFormat="1" applyFill="1" applyBorder="1"/>
    <xf numFmtId="0" fontId="11" fillId="7" borderId="35" xfId="0" applyFont="1" applyFill="1" applyBorder="1"/>
    <xf numFmtId="0" fontId="0" fillId="2" borderId="6" xfId="0" applyFill="1" applyBorder="1"/>
    <xf numFmtId="0" fontId="7" fillId="5" borderId="3" xfId="0" applyFont="1" applyFill="1" applyBorder="1" applyAlignment="1">
      <alignment wrapText="1"/>
    </xf>
    <xf numFmtId="0" fontId="7" fillId="5" borderId="46" xfId="0" applyFont="1" applyFill="1" applyBorder="1" applyAlignment="1">
      <alignment wrapText="1"/>
    </xf>
    <xf numFmtId="165" fontId="0" fillId="4" borderId="6" xfId="0" applyNumberFormat="1" applyFont="1" applyFill="1" applyBorder="1"/>
    <xf numFmtId="0" fontId="0" fillId="3" borderId="8" xfId="0" applyFill="1" applyBorder="1"/>
    <xf numFmtId="2" fontId="1" fillId="4" borderId="1" xfId="0" applyNumberFormat="1" applyFont="1" applyFill="1" applyBorder="1" applyAlignment="1">
      <alignment wrapText="1"/>
    </xf>
    <xf numFmtId="0" fontId="1" fillId="4" borderId="8" xfId="0" applyFont="1" applyFill="1" applyBorder="1" applyAlignment="1">
      <alignment wrapText="1"/>
    </xf>
    <xf numFmtId="2" fontId="1" fillId="4" borderId="23" xfId="0" applyNumberFormat="1" applyFont="1" applyFill="1" applyBorder="1"/>
    <xf numFmtId="0" fontId="0" fillId="3" borderId="23" xfId="0" applyFill="1" applyBorder="1"/>
    <xf numFmtId="165" fontId="0" fillId="4" borderId="24" xfId="0" applyNumberFormat="1" applyFill="1" applyBorder="1"/>
    <xf numFmtId="2" fontId="1" fillId="8" borderId="5" xfId="0" applyNumberFormat="1" applyFont="1" applyFill="1" applyBorder="1" applyAlignment="1">
      <alignment wrapText="1"/>
    </xf>
    <xf numFmtId="167" fontId="0" fillId="4" borderId="6" xfId="0" applyNumberFormat="1" applyFill="1" applyBorder="1" applyAlignment="1">
      <alignment wrapText="1"/>
    </xf>
    <xf numFmtId="167" fontId="0" fillId="4" borderId="6" xfId="0" applyNumberFormat="1" applyFill="1" applyBorder="1"/>
    <xf numFmtId="167" fontId="0" fillId="4" borderId="8" xfId="0" applyNumberFormat="1" applyFill="1" applyBorder="1"/>
    <xf numFmtId="167" fontId="0" fillId="4" borderId="9" xfId="0" applyNumberFormat="1" applyFill="1" applyBorder="1"/>
    <xf numFmtId="0" fontId="0" fillId="5" borderId="2" xfId="0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1" fillId="4" borderId="6" xfId="0" applyFont="1" applyFill="1" applyBorder="1" applyAlignment="1">
      <alignment wrapText="1"/>
    </xf>
    <xf numFmtId="165" fontId="0" fillId="4" borderId="48" xfId="0" applyNumberFormat="1" applyFill="1" applyBorder="1" applyAlignment="1">
      <alignment wrapText="1"/>
    </xf>
    <xf numFmtId="0" fontId="1" fillId="5" borderId="42" xfId="0" applyFont="1" applyFill="1" applyBorder="1" applyAlignment="1">
      <alignment wrapText="1"/>
    </xf>
    <xf numFmtId="0" fontId="0" fillId="5" borderId="43" xfId="0" applyFill="1" applyBorder="1"/>
    <xf numFmtId="0" fontId="1" fillId="8" borderId="47" xfId="0" applyFont="1" applyFill="1" applyBorder="1" applyAlignment="1">
      <alignment wrapText="1"/>
    </xf>
    <xf numFmtId="0" fontId="1" fillId="8" borderId="42" xfId="0" applyFont="1" applyFill="1" applyBorder="1" applyAlignment="1">
      <alignment wrapText="1"/>
    </xf>
    <xf numFmtId="165" fontId="0" fillId="4" borderId="43" xfId="0" applyNumberFormat="1" applyFill="1" applyBorder="1"/>
    <xf numFmtId="0" fontId="1" fillId="5" borderId="3" xfId="0" applyFont="1" applyFill="1" applyBorder="1" applyAlignment="1">
      <alignment vertical="top" wrapText="1"/>
    </xf>
    <xf numFmtId="0" fontId="1" fillId="5" borderId="4" xfId="0" applyFont="1" applyFill="1" applyBorder="1" applyAlignment="1">
      <alignment vertical="top" wrapText="1"/>
    </xf>
    <xf numFmtId="0" fontId="1" fillId="8" borderId="5" xfId="0" applyFont="1" applyFill="1" applyBorder="1" applyAlignment="1">
      <alignment vertical="top" wrapText="1"/>
    </xf>
    <xf numFmtId="0" fontId="1" fillId="8" borderId="12" xfId="0" applyFont="1" applyFill="1" applyBorder="1" applyAlignment="1">
      <alignment vertical="top" wrapText="1"/>
    </xf>
    <xf numFmtId="0" fontId="1" fillId="8" borderId="7" xfId="0" applyFont="1" applyFill="1" applyBorder="1" applyAlignment="1">
      <alignment vertical="top" wrapText="1"/>
    </xf>
    <xf numFmtId="165" fontId="1" fillId="5" borderId="3" xfId="0" applyNumberFormat="1" applyFont="1" applyFill="1" applyBorder="1"/>
    <xf numFmtId="0" fontId="1" fillId="8" borderId="39" xfId="0" applyFont="1" applyFill="1" applyBorder="1"/>
    <xf numFmtId="0" fontId="1" fillId="8" borderId="21" xfId="0" applyFont="1" applyFill="1" applyBorder="1" applyAlignment="1">
      <alignment vertical="top" wrapText="1"/>
    </xf>
    <xf numFmtId="0" fontId="1" fillId="5" borderId="20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165" fontId="0" fillId="4" borderId="25" xfId="0" applyNumberFormat="1" applyFill="1" applyBorder="1"/>
    <xf numFmtId="165" fontId="0" fillId="4" borderId="40" xfId="0" applyNumberFormat="1" applyFill="1" applyBorder="1" applyAlignment="1">
      <alignment wrapText="1"/>
    </xf>
    <xf numFmtId="0" fontId="1" fillId="5" borderId="20" xfId="0" applyFont="1" applyFill="1" applyBorder="1"/>
    <xf numFmtId="0" fontId="7" fillId="5" borderId="2" xfId="0" applyFont="1" applyFill="1" applyBorder="1" applyAlignment="1">
      <alignment wrapText="1"/>
    </xf>
    <xf numFmtId="0" fontId="12" fillId="9" borderId="4" xfId="0" applyFont="1" applyFill="1" applyBorder="1" applyAlignment="1">
      <alignment wrapText="1"/>
    </xf>
    <xf numFmtId="1" fontId="13" fillId="9" borderId="6" xfId="0" applyNumberFormat="1" applyFont="1" applyFill="1" applyBorder="1" applyAlignment="1">
      <alignment wrapText="1"/>
    </xf>
    <xf numFmtId="0" fontId="13" fillId="9" borderId="6" xfId="0" applyFont="1" applyFill="1" applyBorder="1" applyAlignment="1">
      <alignment wrapText="1"/>
    </xf>
    <xf numFmtId="0" fontId="13" fillId="9" borderId="6" xfId="0" applyFont="1" applyFill="1" applyBorder="1"/>
    <xf numFmtId="165" fontId="13" fillId="9" borderId="6" xfId="0" applyNumberFormat="1" applyFont="1" applyFill="1" applyBorder="1"/>
    <xf numFmtId="165" fontId="13" fillId="9" borderId="9" xfId="0" applyNumberFormat="1" applyFont="1" applyFill="1" applyBorder="1"/>
    <xf numFmtId="165" fontId="13" fillId="10" borderId="6" xfId="0" applyNumberFormat="1" applyFont="1" applyFill="1" applyBorder="1"/>
    <xf numFmtId="0" fontId="7" fillId="5" borderId="10" xfId="0" applyFont="1" applyFill="1" applyBorder="1" applyAlignment="1">
      <alignment wrapText="1"/>
    </xf>
    <xf numFmtId="0" fontId="1" fillId="8" borderId="12" xfId="0" applyFont="1" applyFill="1" applyBorder="1" applyAlignment="1">
      <alignment wrapText="1"/>
    </xf>
    <xf numFmtId="0" fontId="1" fillId="4" borderId="11" xfId="0" applyFont="1" applyFill="1" applyBorder="1"/>
    <xf numFmtId="0" fontId="0" fillId="4" borderId="11" xfId="0" applyFill="1" applyBorder="1" applyAlignment="1">
      <alignment wrapText="1"/>
    </xf>
    <xf numFmtId="165" fontId="13" fillId="9" borderId="19" xfId="0" applyNumberFormat="1" applyFont="1" applyFill="1" applyBorder="1"/>
    <xf numFmtId="0" fontId="13" fillId="9" borderId="6" xfId="0" applyNumberFormat="1" applyFont="1" applyFill="1" applyBorder="1" applyAlignment="1">
      <alignment wrapText="1"/>
    </xf>
    <xf numFmtId="165" fontId="13" fillId="10" borderId="9" xfId="0" applyNumberFormat="1" applyFont="1" applyFill="1" applyBorder="1"/>
    <xf numFmtId="0" fontId="1" fillId="9" borderId="24" xfId="0" applyFont="1" applyFill="1" applyBorder="1" applyAlignment="1">
      <alignment wrapText="1"/>
    </xf>
    <xf numFmtId="0" fontId="1" fillId="4" borderId="22" xfId="0" applyFont="1" applyFill="1" applyBorder="1" applyAlignment="1">
      <alignment wrapText="1"/>
    </xf>
    <xf numFmtId="0" fontId="1" fillId="4" borderId="20" xfId="0" applyFont="1" applyFill="1" applyBorder="1" applyAlignment="1"/>
    <xf numFmtId="2" fontId="1" fillId="4" borderId="21" xfId="0" applyNumberFormat="1" applyFont="1" applyFill="1" applyBorder="1"/>
    <xf numFmtId="2" fontId="1" fillId="4" borderId="5" xfId="0" applyNumberFormat="1" applyFont="1" applyFill="1" applyBorder="1"/>
    <xf numFmtId="0" fontId="1" fillId="0" borderId="5" xfId="0" applyFont="1" applyFill="1" applyBorder="1"/>
    <xf numFmtId="0" fontId="0" fillId="0" borderId="6" xfId="0" applyFill="1" applyBorder="1"/>
    <xf numFmtId="2" fontId="1" fillId="4" borderId="7" xfId="0" applyNumberFormat="1" applyFont="1" applyFill="1" applyBorder="1" applyAlignment="1">
      <alignment wrapText="1"/>
    </xf>
    <xf numFmtId="0" fontId="0" fillId="5" borderId="8" xfId="0" applyFill="1" applyBorder="1"/>
    <xf numFmtId="0" fontId="0" fillId="5" borderId="9" xfId="0" applyFill="1" applyBorder="1"/>
    <xf numFmtId="0" fontId="1" fillId="4" borderId="3" xfId="0" applyFont="1" applyFill="1" applyBorder="1" applyAlignment="1"/>
    <xf numFmtId="0" fontId="0" fillId="0" borderId="6" xfId="0" applyBorder="1"/>
    <xf numFmtId="2" fontId="1" fillId="4" borderId="2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Propellant Mass</a:t>
            </a:r>
            <a:r>
              <a:rPr lang="en-US" baseline="0"/>
              <a:t> as a Function of Mission Length (Case 1 and 2)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Plots!$D$5</c:f>
              <c:strCache>
                <c:ptCount val="1"/>
                <c:pt idx="0">
                  <c:v>Air</c:v>
                </c:pt>
              </c:strCache>
            </c:strRef>
          </c:tx>
          <c:val>
            <c:numRef>
              <c:f>Plots!$E$5:$N$5</c:f>
              <c:numCache>
                <c:formatCode>General</c:formatCode>
                <c:ptCount val="10"/>
                <c:pt idx="0">
                  <c:v>8.7929999999999993</c:v>
                </c:pt>
                <c:pt idx="1">
                  <c:v>17.509</c:v>
                </c:pt>
                <c:pt idx="2">
                  <c:v>26.225000000000001</c:v>
                </c:pt>
                <c:pt idx="3">
                  <c:v>34.941000000000003</c:v>
                </c:pt>
                <c:pt idx="4">
                  <c:v>43.656999999999996</c:v>
                </c:pt>
                <c:pt idx="5">
                  <c:v>52.372999999999998</c:v>
                </c:pt>
                <c:pt idx="6">
                  <c:v>61.088999999999999</c:v>
                </c:pt>
                <c:pt idx="7">
                  <c:v>69.805000000000007</c:v>
                </c:pt>
                <c:pt idx="8">
                  <c:v>78.521000000000001</c:v>
                </c:pt>
                <c:pt idx="9">
                  <c:v>87.236999999999995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Plots!$D$6</c:f>
              <c:strCache>
                <c:ptCount val="1"/>
                <c:pt idx="0">
                  <c:v>Argon (Ar)</c:v>
                </c:pt>
              </c:strCache>
            </c:strRef>
          </c:tx>
          <c:val>
            <c:numRef>
              <c:f>Plots!$E$6:$N$6</c:f>
              <c:numCache>
                <c:formatCode>General</c:formatCode>
                <c:ptCount val="10"/>
                <c:pt idx="0">
                  <c:v>12.170999999999999</c:v>
                </c:pt>
                <c:pt idx="1">
                  <c:v>24.234999999999999</c:v>
                </c:pt>
                <c:pt idx="2">
                  <c:v>36.298000000000002</c:v>
                </c:pt>
                <c:pt idx="3">
                  <c:v>48.360999999999997</c:v>
                </c:pt>
                <c:pt idx="4">
                  <c:v>60.424999999999997</c:v>
                </c:pt>
                <c:pt idx="5">
                  <c:v>72.488</c:v>
                </c:pt>
                <c:pt idx="6">
                  <c:v>84.552000000000007</c:v>
                </c:pt>
                <c:pt idx="7">
                  <c:v>96.614999999999995</c:v>
                </c:pt>
                <c:pt idx="8">
                  <c:v>108.678</c:v>
                </c:pt>
                <c:pt idx="9">
                  <c:v>120.742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Plots!$D$7</c:f>
              <c:strCache>
                <c:ptCount val="1"/>
                <c:pt idx="0">
                  <c:v>C02</c:v>
                </c:pt>
              </c:strCache>
            </c:strRef>
          </c:tx>
          <c:val>
            <c:numRef>
              <c:f>Plots!$E$7:$N$7</c:f>
              <c:numCache>
                <c:formatCode>General</c:formatCode>
                <c:ptCount val="10"/>
                <c:pt idx="0">
                  <c:v>9.5890000000000004</c:v>
                </c:pt>
                <c:pt idx="1">
                  <c:v>19.093</c:v>
                </c:pt>
                <c:pt idx="2">
                  <c:v>28.597999999999999</c:v>
                </c:pt>
                <c:pt idx="3">
                  <c:v>38.103000000000002</c:v>
                </c:pt>
                <c:pt idx="4">
                  <c:v>47.606999999999999</c:v>
                </c:pt>
                <c:pt idx="5">
                  <c:v>57.112000000000002</c:v>
                </c:pt>
                <c:pt idx="6">
                  <c:v>66.617000000000004</c:v>
                </c:pt>
                <c:pt idx="7">
                  <c:v>76.120999999999995</c:v>
                </c:pt>
                <c:pt idx="8">
                  <c:v>85.626000000000005</c:v>
                </c:pt>
                <c:pt idx="9">
                  <c:v>95.131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Plots!$D$8</c:f>
              <c:strCache>
                <c:ptCount val="1"/>
                <c:pt idx="0">
                  <c:v>He</c:v>
                </c:pt>
              </c:strCache>
            </c:strRef>
          </c:tx>
          <c:val>
            <c:numRef>
              <c:f>Plots!$E$8:$N$8</c:f>
              <c:numCache>
                <c:formatCode>General</c:formatCode>
                <c:ptCount val="10"/>
                <c:pt idx="0">
                  <c:v>3.8519999999999999</c:v>
                </c:pt>
                <c:pt idx="1">
                  <c:v>7.6719999999999997</c:v>
                </c:pt>
                <c:pt idx="2">
                  <c:v>11.491</c:v>
                </c:pt>
                <c:pt idx="3">
                  <c:v>15.311</c:v>
                </c:pt>
                <c:pt idx="4">
                  <c:v>19.131</c:v>
                </c:pt>
                <c:pt idx="5">
                  <c:v>22.95</c:v>
                </c:pt>
                <c:pt idx="6">
                  <c:v>26.77</c:v>
                </c:pt>
                <c:pt idx="7">
                  <c:v>30.588999999999999</c:v>
                </c:pt>
                <c:pt idx="8">
                  <c:v>34.408999999999999</c:v>
                </c:pt>
                <c:pt idx="9">
                  <c:v>38.228999999999999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Plots!$D$9</c:f>
              <c:strCache>
                <c:ptCount val="1"/>
                <c:pt idx="0">
                  <c:v>H2</c:v>
                </c:pt>
              </c:strCache>
            </c:strRef>
          </c:tx>
          <c:val>
            <c:numRef>
              <c:f>Plots!$E$9:$N$9</c:f>
              <c:numCache>
                <c:formatCode>General</c:formatCode>
                <c:ptCount val="10"/>
                <c:pt idx="0">
                  <c:v>2.3290000000000002</c:v>
                </c:pt>
                <c:pt idx="1">
                  <c:v>4.6390000000000002</c:v>
                </c:pt>
                <c:pt idx="2">
                  <c:v>6.9489999999999998</c:v>
                </c:pt>
                <c:pt idx="3">
                  <c:v>9.2590000000000003</c:v>
                </c:pt>
                <c:pt idx="4">
                  <c:v>11.568</c:v>
                </c:pt>
                <c:pt idx="5">
                  <c:v>13.878</c:v>
                </c:pt>
                <c:pt idx="6">
                  <c:v>16.187999999999999</c:v>
                </c:pt>
                <c:pt idx="7">
                  <c:v>18.497</c:v>
                </c:pt>
                <c:pt idx="8">
                  <c:v>20.806999999999999</c:v>
                </c:pt>
                <c:pt idx="9">
                  <c:v>23.117000000000001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Plots!$D$10</c:f>
              <c:strCache>
                <c:ptCount val="1"/>
                <c:pt idx="0">
                  <c:v>N2</c:v>
                </c:pt>
              </c:strCache>
            </c:strRef>
          </c:tx>
          <c:val>
            <c:numRef>
              <c:f>Plots!$E$10:$N$10</c:f>
              <c:numCache>
                <c:formatCode>General</c:formatCode>
                <c:ptCount val="10"/>
                <c:pt idx="0">
                  <c:v>8.6470000000000002</c:v>
                </c:pt>
                <c:pt idx="1">
                  <c:v>17.219000000000001</c:v>
                </c:pt>
                <c:pt idx="2">
                  <c:v>25.791</c:v>
                </c:pt>
                <c:pt idx="3">
                  <c:v>34.363</c:v>
                </c:pt>
                <c:pt idx="4">
                  <c:v>42.935000000000002</c:v>
                </c:pt>
                <c:pt idx="5">
                  <c:v>51.506</c:v>
                </c:pt>
                <c:pt idx="6">
                  <c:v>60.078000000000003</c:v>
                </c:pt>
                <c:pt idx="7">
                  <c:v>68.650000000000006</c:v>
                </c:pt>
                <c:pt idx="8">
                  <c:v>77.221999999999994</c:v>
                </c:pt>
                <c:pt idx="9">
                  <c:v>85.793999999999997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Plots!$D$11</c:f>
              <c:strCache>
                <c:ptCount val="1"/>
                <c:pt idx="0">
                  <c:v>O2</c:v>
                </c:pt>
              </c:strCache>
            </c:strRef>
          </c:tx>
          <c:val>
            <c:numRef>
              <c:f>Plots!$E$11:$N$11</c:f>
              <c:numCache>
                <c:formatCode>General</c:formatCode>
                <c:ptCount val="10"/>
                <c:pt idx="0">
                  <c:v>9.2010000000000005</c:v>
                </c:pt>
                <c:pt idx="1">
                  <c:v>18.321000000000002</c:v>
                </c:pt>
                <c:pt idx="2">
                  <c:v>27.440999999999999</c:v>
                </c:pt>
                <c:pt idx="3">
                  <c:v>36.561999999999998</c:v>
                </c:pt>
                <c:pt idx="4">
                  <c:v>45.682000000000002</c:v>
                </c:pt>
                <c:pt idx="5">
                  <c:v>54.802999999999997</c:v>
                </c:pt>
                <c:pt idx="6">
                  <c:v>63.923000000000002</c:v>
                </c:pt>
                <c:pt idx="7">
                  <c:v>73.043000000000006</c:v>
                </c:pt>
                <c:pt idx="8">
                  <c:v>82.164000000000001</c:v>
                </c:pt>
                <c:pt idx="9">
                  <c:v>91.284000000000006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Plots!$D$12</c:f>
              <c:strCache>
                <c:ptCount val="1"/>
                <c:pt idx="0">
                  <c:v>Butane</c:v>
                </c:pt>
              </c:strCache>
            </c:strRef>
          </c:tx>
          <c:val>
            <c:numRef>
              <c:f>Plots!$E$12:$N$12</c:f>
              <c:numCache>
                <c:formatCode>General</c:formatCode>
                <c:ptCount val="10"/>
                <c:pt idx="0">
                  <c:v>6.8369999999999997</c:v>
                </c:pt>
                <c:pt idx="1">
                  <c:v>13.615</c:v>
                </c:pt>
                <c:pt idx="2">
                  <c:v>20.393999999999998</c:v>
                </c:pt>
                <c:pt idx="3">
                  <c:v>27.172000000000001</c:v>
                </c:pt>
                <c:pt idx="4">
                  <c:v>33.950000000000003</c:v>
                </c:pt>
                <c:pt idx="5">
                  <c:v>40.728000000000002</c:v>
                </c:pt>
                <c:pt idx="6">
                  <c:v>47.506</c:v>
                </c:pt>
                <c:pt idx="7">
                  <c:v>54.284999999999997</c:v>
                </c:pt>
                <c:pt idx="8">
                  <c:v>61.063000000000002</c:v>
                </c:pt>
                <c:pt idx="9">
                  <c:v>67.840999999999994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Plots!$D$13</c:f>
              <c:strCache>
                <c:ptCount val="1"/>
                <c:pt idx="0">
                  <c:v>Propane</c:v>
                </c:pt>
              </c:strCache>
            </c:strRef>
          </c:tx>
          <c:val>
            <c:numRef>
              <c:f>Plots!$E$13:$N$13</c:f>
              <c:numCache>
                <c:formatCode>General</c:formatCode>
                <c:ptCount val="10"/>
                <c:pt idx="0">
                  <c:v>6.6379999999999999</c:v>
                </c:pt>
                <c:pt idx="1">
                  <c:v>13.218</c:v>
                </c:pt>
                <c:pt idx="2">
                  <c:v>19.798999999999999</c:v>
                </c:pt>
                <c:pt idx="3">
                  <c:v>26.379000000000001</c:v>
                </c:pt>
                <c:pt idx="4">
                  <c:v>32.959000000000003</c:v>
                </c:pt>
                <c:pt idx="5">
                  <c:v>39.54</c:v>
                </c:pt>
                <c:pt idx="6">
                  <c:v>46.12</c:v>
                </c:pt>
                <c:pt idx="7">
                  <c:v>52.701000000000001</c:v>
                </c:pt>
                <c:pt idx="8">
                  <c:v>59.280999999999999</c:v>
                </c:pt>
                <c:pt idx="9">
                  <c:v>65.861999999999995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Plots!$D$14</c:f>
              <c:strCache>
                <c:ptCount val="1"/>
                <c:pt idx="0">
                  <c:v>GREEN LMP-103X</c:v>
                </c:pt>
              </c:strCache>
            </c:strRef>
          </c:tx>
          <c:val>
            <c:numRef>
              <c:f>Plots!$E$14:$N$14</c:f>
              <c:numCache>
                <c:formatCode>General</c:formatCode>
                <c:ptCount val="10"/>
                <c:pt idx="0">
                  <c:v>2.7</c:v>
                </c:pt>
                <c:pt idx="1">
                  <c:v>5.3769999999999998</c:v>
                </c:pt>
                <c:pt idx="2">
                  <c:v>8.0540000000000003</c:v>
                </c:pt>
                <c:pt idx="3">
                  <c:v>10.731</c:v>
                </c:pt>
                <c:pt idx="4">
                  <c:v>13.407999999999999</c:v>
                </c:pt>
                <c:pt idx="5">
                  <c:v>16.085000000000001</c:v>
                </c:pt>
                <c:pt idx="6">
                  <c:v>18.762</c:v>
                </c:pt>
                <c:pt idx="7">
                  <c:v>21.439</c:v>
                </c:pt>
                <c:pt idx="8">
                  <c:v>24.116</c:v>
                </c:pt>
                <c:pt idx="9">
                  <c:v>26.792999999999999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116352"/>
        <c:axId val="166889728"/>
      </c:lineChart>
      <c:catAx>
        <c:axId val="16611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Mission Length (years)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66889728"/>
        <c:crosses val="autoZero"/>
        <c:auto val="1"/>
        <c:lblAlgn val="ctr"/>
        <c:lblOffset val="100"/>
        <c:noMultiLvlLbl val="0"/>
      </c:catAx>
      <c:valAx>
        <c:axId val="166889728"/>
        <c:scaling>
          <c:orientation val="minMax"/>
          <c:max val="1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Propellant Mass</a:t>
                </a:r>
                <a:r>
                  <a:rPr lang="en-US" baseline="0"/>
                  <a:t> (kg)</a:t>
                </a:r>
                <a:endParaRPr lang="en-US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166116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Size With Varying Slew</a:t>
            </a:r>
            <a:r>
              <a:rPr lang="en-US" baseline="0"/>
              <a:t> Maneuver Time (Case 3 and 4)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Plots!$D$47</c:f>
              <c:strCache>
                <c:ptCount val="1"/>
                <c:pt idx="0">
                  <c:v>GREEN LMP-103X</c:v>
                </c:pt>
              </c:strCache>
            </c:strRef>
          </c:tx>
          <c:cat>
            <c:numRef>
              <c:f>Plots!$E$38:$N$38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cat>
          <c:val>
            <c:numRef>
              <c:f>Plots!$E$47:$N$47</c:f>
              <c:numCache>
                <c:formatCode>General</c:formatCode>
                <c:ptCount val="10"/>
                <c:pt idx="0">
                  <c:v>9.9099999999999994E-2</c:v>
                </c:pt>
                <c:pt idx="1">
                  <c:v>5.33E-2</c:v>
                </c:pt>
                <c:pt idx="2">
                  <c:v>1.66E-2</c:v>
                </c:pt>
                <c:pt idx="3">
                  <c:v>1.2E-2</c:v>
                </c:pt>
                <c:pt idx="4">
                  <c:v>9.7000000000000003E-3</c:v>
                </c:pt>
                <c:pt idx="5">
                  <c:v>8.8999999999999999E-3</c:v>
                </c:pt>
                <c:pt idx="6">
                  <c:v>8.2000000000000007E-3</c:v>
                </c:pt>
                <c:pt idx="7">
                  <c:v>7.9000000000000008E-3</c:v>
                </c:pt>
                <c:pt idx="8">
                  <c:v>7.7999999999999996E-3</c:v>
                </c:pt>
                <c:pt idx="9">
                  <c:v>7.7000000000000002E-3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56640"/>
        <c:axId val="157467008"/>
      </c:lineChart>
      <c:catAx>
        <c:axId val="157456640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57467008"/>
        <c:crosses val="autoZero"/>
        <c:auto val="1"/>
        <c:lblAlgn val="ctr"/>
        <c:lblOffset val="100"/>
        <c:noMultiLvlLbl val="0"/>
      </c:catAx>
      <c:valAx>
        <c:axId val="157467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 Volume (m^3)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7456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Volume vs.</a:t>
            </a:r>
            <a:r>
              <a:rPr lang="en-US" baseline="0"/>
              <a:t> # of Momentum Dumping Cycles (Case 1 and 2)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Plots!$D$50</c:f>
              <c:strCache>
                <c:ptCount val="1"/>
                <c:pt idx="0">
                  <c:v>C02</c:v>
                </c:pt>
              </c:strCache>
            </c:strRef>
          </c:tx>
          <c:cat>
            <c:numRef>
              <c:f>Plots!$E$49:$N$49</c:f>
              <c:numCache>
                <c:formatCode>General</c:formatCode>
                <c:ptCount val="10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7000</c:v>
                </c:pt>
                <c:pt idx="7">
                  <c:v>9000</c:v>
                </c:pt>
                <c:pt idx="8">
                  <c:v>11000</c:v>
                </c:pt>
                <c:pt idx="9">
                  <c:v>13000</c:v>
                </c:pt>
              </c:numCache>
            </c:numRef>
          </c:cat>
          <c:val>
            <c:numRef>
              <c:f>Plots!$E$50:$N$50</c:f>
              <c:numCache>
                <c:formatCode>General</c:formatCode>
                <c:ptCount val="10"/>
                <c:pt idx="0">
                  <c:v>0.15</c:v>
                </c:pt>
                <c:pt idx="1">
                  <c:v>0.253</c:v>
                </c:pt>
                <c:pt idx="2">
                  <c:v>0.46</c:v>
                </c:pt>
                <c:pt idx="3">
                  <c:v>0.66700000000000004</c:v>
                </c:pt>
                <c:pt idx="4">
                  <c:v>0.873</c:v>
                </c:pt>
                <c:pt idx="5">
                  <c:v>1.08</c:v>
                </c:pt>
                <c:pt idx="6">
                  <c:v>1.494</c:v>
                </c:pt>
                <c:pt idx="7">
                  <c:v>1.907</c:v>
                </c:pt>
                <c:pt idx="8">
                  <c:v>2.3199999999999998</c:v>
                </c:pt>
                <c:pt idx="9">
                  <c:v>2.734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Plots!$D$51</c:f>
              <c:strCache>
                <c:ptCount val="1"/>
                <c:pt idx="0">
                  <c:v>Butane</c:v>
                </c:pt>
              </c:strCache>
            </c:strRef>
          </c:tx>
          <c:cat>
            <c:numRef>
              <c:f>Plots!$E$49:$N$49</c:f>
              <c:numCache>
                <c:formatCode>General</c:formatCode>
                <c:ptCount val="10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7000</c:v>
                </c:pt>
                <c:pt idx="7">
                  <c:v>9000</c:v>
                </c:pt>
                <c:pt idx="8">
                  <c:v>11000</c:v>
                </c:pt>
                <c:pt idx="9">
                  <c:v>13000</c:v>
                </c:pt>
              </c:numCache>
            </c:numRef>
          </c:cat>
          <c:val>
            <c:numRef>
              <c:f>Plots!$E$51:$N$51</c:f>
              <c:numCache>
                <c:formatCode>General</c:formatCode>
                <c:ptCount val="10"/>
                <c:pt idx="0">
                  <c:v>8.1000000000000003E-2</c:v>
                </c:pt>
                <c:pt idx="1">
                  <c:v>0.13700000000000001</c:v>
                </c:pt>
                <c:pt idx="2">
                  <c:v>0.248</c:v>
                </c:pt>
                <c:pt idx="3">
                  <c:v>0.36</c:v>
                </c:pt>
                <c:pt idx="4">
                  <c:v>0.47199999999999998</c:v>
                </c:pt>
                <c:pt idx="5">
                  <c:v>0.58299999999999996</c:v>
                </c:pt>
                <c:pt idx="6">
                  <c:v>0.80600000000000005</c:v>
                </c:pt>
                <c:pt idx="7">
                  <c:v>1.0289999999999999</c:v>
                </c:pt>
                <c:pt idx="8">
                  <c:v>1.2529999999999999</c:v>
                </c:pt>
                <c:pt idx="9">
                  <c:v>1.476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Plots!$D$52</c:f>
              <c:strCache>
                <c:ptCount val="1"/>
                <c:pt idx="0">
                  <c:v>Propane</c:v>
                </c:pt>
              </c:strCache>
            </c:strRef>
          </c:tx>
          <c:cat>
            <c:numRef>
              <c:f>Plots!$E$49:$N$49</c:f>
              <c:numCache>
                <c:formatCode>General</c:formatCode>
                <c:ptCount val="10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7000</c:v>
                </c:pt>
                <c:pt idx="7">
                  <c:v>9000</c:v>
                </c:pt>
                <c:pt idx="8">
                  <c:v>11000</c:v>
                </c:pt>
                <c:pt idx="9">
                  <c:v>13000</c:v>
                </c:pt>
              </c:numCache>
            </c:numRef>
          </c:cat>
          <c:val>
            <c:numRef>
              <c:f>Plots!$E$52:$N$52</c:f>
              <c:numCache>
                <c:formatCode>General</c:formatCode>
                <c:ptCount val="10"/>
                <c:pt idx="0">
                  <c:v>0.104</c:v>
                </c:pt>
                <c:pt idx="1">
                  <c:v>0.17599999999999999</c:v>
                </c:pt>
                <c:pt idx="2">
                  <c:v>0.31900000000000001</c:v>
                </c:pt>
                <c:pt idx="3">
                  <c:v>0.46200000000000002</c:v>
                </c:pt>
                <c:pt idx="4">
                  <c:v>0.60499999999999998</c:v>
                </c:pt>
                <c:pt idx="5">
                  <c:v>0.748</c:v>
                </c:pt>
                <c:pt idx="6">
                  <c:v>1.0349999999999999</c:v>
                </c:pt>
                <c:pt idx="7">
                  <c:v>1.321</c:v>
                </c:pt>
                <c:pt idx="8">
                  <c:v>1.607</c:v>
                </c:pt>
                <c:pt idx="9">
                  <c:v>1.8939999999999999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05312"/>
        <c:axId val="166211584"/>
      </c:lineChart>
      <c:catAx>
        <c:axId val="16620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of Momentum Dumping Cyles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6211584"/>
        <c:crosses val="autoZero"/>
        <c:auto val="1"/>
        <c:lblAlgn val="ctr"/>
        <c:lblOffset val="100"/>
        <c:noMultiLvlLbl val="0"/>
      </c:catAx>
      <c:valAx>
        <c:axId val="1662115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 Volume (m^3)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6205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Volume</a:t>
            </a:r>
            <a:r>
              <a:rPr lang="en-US" baseline="0"/>
              <a:t> vs. # of Momentum Dumping Cycles (Case 1 and 2)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Plots!$D$53</c:f>
              <c:strCache>
                <c:ptCount val="1"/>
                <c:pt idx="0">
                  <c:v>GREEN LMP-103X</c:v>
                </c:pt>
              </c:strCache>
            </c:strRef>
          </c:tx>
          <c:cat>
            <c:numRef>
              <c:f>Plots!$E$49:$N$49</c:f>
              <c:numCache>
                <c:formatCode>General</c:formatCode>
                <c:ptCount val="10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7000</c:v>
                </c:pt>
                <c:pt idx="7">
                  <c:v>9000</c:v>
                </c:pt>
                <c:pt idx="8">
                  <c:v>11000</c:v>
                </c:pt>
                <c:pt idx="9">
                  <c:v>13000</c:v>
                </c:pt>
              </c:numCache>
            </c:numRef>
          </c:cat>
          <c:val>
            <c:numRef>
              <c:f>Plots!$E$53:$N$53</c:f>
              <c:numCache>
                <c:formatCode>General</c:formatCode>
                <c:ptCount val="10"/>
                <c:pt idx="0">
                  <c:v>1E-3</c:v>
                </c:pt>
                <c:pt idx="1">
                  <c:v>1.6999999999999999E-3</c:v>
                </c:pt>
                <c:pt idx="2">
                  <c:v>3.0999999999999999E-3</c:v>
                </c:pt>
                <c:pt idx="3">
                  <c:v>4.4000000000000003E-3</c:v>
                </c:pt>
                <c:pt idx="4">
                  <c:v>5.7999999999999996E-3</c:v>
                </c:pt>
                <c:pt idx="5">
                  <c:v>7.1999999999999998E-3</c:v>
                </c:pt>
                <c:pt idx="6">
                  <c:v>9.9000000000000008E-3</c:v>
                </c:pt>
                <c:pt idx="7">
                  <c:v>1.26E-2</c:v>
                </c:pt>
                <c:pt idx="8">
                  <c:v>1.54E-2</c:v>
                </c:pt>
                <c:pt idx="9">
                  <c:v>1.8100000000000002E-2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24256"/>
        <c:axId val="166226176"/>
      </c:lineChart>
      <c:catAx>
        <c:axId val="16622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of Momentum Dumping Cycles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6226176"/>
        <c:crosses val="autoZero"/>
        <c:auto val="1"/>
        <c:lblAlgn val="ctr"/>
        <c:lblOffset val="100"/>
        <c:noMultiLvlLbl val="0"/>
      </c:catAx>
      <c:valAx>
        <c:axId val="166226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 Volume (m^3)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6224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Volume vs. # of Momentum Dumping</a:t>
            </a:r>
            <a:r>
              <a:rPr lang="en-US" baseline="0"/>
              <a:t> Cycles (Case 3 and 4)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Plots!$D$55</c:f>
              <c:strCache>
                <c:ptCount val="1"/>
                <c:pt idx="0">
                  <c:v>C02</c:v>
                </c:pt>
              </c:strCache>
            </c:strRef>
          </c:tx>
          <c:cat>
            <c:numRef>
              <c:f>Plots!$E$49:$N$49</c:f>
              <c:numCache>
                <c:formatCode>General</c:formatCode>
                <c:ptCount val="10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7000</c:v>
                </c:pt>
                <c:pt idx="7">
                  <c:v>9000</c:v>
                </c:pt>
                <c:pt idx="8">
                  <c:v>11000</c:v>
                </c:pt>
                <c:pt idx="9">
                  <c:v>13000</c:v>
                </c:pt>
              </c:numCache>
            </c:numRef>
          </c:cat>
          <c:val>
            <c:numRef>
              <c:f>Plots!$E$55:$N$55</c:f>
              <c:numCache>
                <c:formatCode>General</c:formatCode>
                <c:ptCount val="10"/>
                <c:pt idx="0">
                  <c:v>0.76800000000000002</c:v>
                </c:pt>
                <c:pt idx="1">
                  <c:v>0.84499999999999997</c:v>
                </c:pt>
                <c:pt idx="2">
                  <c:v>0.998</c:v>
                </c:pt>
                <c:pt idx="3">
                  <c:v>1.151</c:v>
                </c:pt>
                <c:pt idx="4">
                  <c:v>1.304</c:v>
                </c:pt>
                <c:pt idx="5">
                  <c:v>1.4570000000000001</c:v>
                </c:pt>
                <c:pt idx="6">
                  <c:v>1.7629999999999999</c:v>
                </c:pt>
                <c:pt idx="7">
                  <c:v>2.069</c:v>
                </c:pt>
                <c:pt idx="8">
                  <c:v>2.375</c:v>
                </c:pt>
                <c:pt idx="9">
                  <c:v>2.681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Plots!$D$56</c:f>
              <c:strCache>
                <c:ptCount val="1"/>
                <c:pt idx="0">
                  <c:v>Butane</c:v>
                </c:pt>
              </c:strCache>
            </c:strRef>
          </c:tx>
          <c:cat>
            <c:numRef>
              <c:f>Plots!$E$49:$N$49</c:f>
              <c:numCache>
                <c:formatCode>General</c:formatCode>
                <c:ptCount val="10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7000</c:v>
                </c:pt>
                <c:pt idx="7">
                  <c:v>9000</c:v>
                </c:pt>
                <c:pt idx="8">
                  <c:v>11000</c:v>
                </c:pt>
                <c:pt idx="9">
                  <c:v>13000</c:v>
                </c:pt>
              </c:numCache>
            </c:numRef>
          </c:cat>
          <c:val>
            <c:numRef>
              <c:f>Plots!$E$56:$N$56</c:f>
              <c:numCache>
                <c:formatCode>General</c:formatCode>
                <c:ptCount val="10"/>
                <c:pt idx="0">
                  <c:v>0.41499999999999998</c:v>
                </c:pt>
                <c:pt idx="1">
                  <c:v>0.45600000000000002</c:v>
                </c:pt>
                <c:pt idx="2">
                  <c:v>0.53900000000000003</c:v>
                </c:pt>
                <c:pt idx="3">
                  <c:v>0.621</c:v>
                </c:pt>
                <c:pt idx="4">
                  <c:v>0.70399999999999996</c:v>
                </c:pt>
                <c:pt idx="5">
                  <c:v>0.78600000000000003</c:v>
                </c:pt>
                <c:pt idx="6">
                  <c:v>0.95199999999999996</c:v>
                </c:pt>
                <c:pt idx="7">
                  <c:v>1.117</c:v>
                </c:pt>
                <c:pt idx="8">
                  <c:v>1.282</c:v>
                </c:pt>
                <c:pt idx="9">
                  <c:v>1.4470000000000001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Plots!$D$57</c:f>
              <c:strCache>
                <c:ptCount val="1"/>
                <c:pt idx="0">
                  <c:v>Propane</c:v>
                </c:pt>
              </c:strCache>
            </c:strRef>
          </c:tx>
          <c:cat>
            <c:numRef>
              <c:f>Plots!$E$49:$N$49</c:f>
              <c:numCache>
                <c:formatCode>General</c:formatCode>
                <c:ptCount val="10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7000</c:v>
                </c:pt>
                <c:pt idx="7">
                  <c:v>9000</c:v>
                </c:pt>
                <c:pt idx="8">
                  <c:v>11000</c:v>
                </c:pt>
                <c:pt idx="9">
                  <c:v>13000</c:v>
                </c:pt>
              </c:numCache>
            </c:numRef>
          </c:cat>
          <c:val>
            <c:numRef>
              <c:f>Plots!$E$57:$N$57</c:f>
              <c:numCache>
                <c:formatCode>General</c:formatCode>
                <c:ptCount val="10"/>
                <c:pt idx="0">
                  <c:v>0.53200000000000003</c:v>
                </c:pt>
                <c:pt idx="1">
                  <c:v>0.58499999999999996</c:v>
                </c:pt>
                <c:pt idx="2">
                  <c:v>0.69099999999999995</c:v>
                </c:pt>
                <c:pt idx="3">
                  <c:v>0.79700000000000004</c:v>
                </c:pt>
                <c:pt idx="4">
                  <c:v>0.90300000000000002</c:v>
                </c:pt>
                <c:pt idx="5">
                  <c:v>1.0089999999999999</c:v>
                </c:pt>
                <c:pt idx="6">
                  <c:v>1.2210000000000001</c:v>
                </c:pt>
                <c:pt idx="7">
                  <c:v>1.4330000000000001</c:v>
                </c:pt>
                <c:pt idx="8">
                  <c:v>1.645</c:v>
                </c:pt>
                <c:pt idx="9">
                  <c:v>1.857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61120"/>
        <c:axId val="166263040"/>
      </c:lineChart>
      <c:catAx>
        <c:axId val="16626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of Momentum Dumping Cycles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6263040"/>
        <c:crosses val="autoZero"/>
        <c:auto val="1"/>
        <c:lblAlgn val="ctr"/>
        <c:lblOffset val="100"/>
        <c:noMultiLvlLbl val="0"/>
      </c:catAx>
      <c:valAx>
        <c:axId val="1662630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 Volume (m^3)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6261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Volume vs. # of Momentum Dumping Cycles (Case 3</a:t>
            </a:r>
            <a:r>
              <a:rPr lang="en-US" baseline="0"/>
              <a:t> and 4)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Plots!$D$58</c:f>
              <c:strCache>
                <c:ptCount val="1"/>
                <c:pt idx="0">
                  <c:v>GREEN LMP-103X</c:v>
                </c:pt>
              </c:strCache>
            </c:strRef>
          </c:tx>
          <c:cat>
            <c:numRef>
              <c:f>Plots!$E$49:$N$49</c:f>
              <c:numCache>
                <c:formatCode>General</c:formatCode>
                <c:ptCount val="10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7000</c:v>
                </c:pt>
                <c:pt idx="7">
                  <c:v>9000</c:v>
                </c:pt>
                <c:pt idx="8">
                  <c:v>11000</c:v>
                </c:pt>
                <c:pt idx="9">
                  <c:v>13000</c:v>
                </c:pt>
              </c:numCache>
            </c:numRef>
          </c:cat>
          <c:val>
            <c:numRef>
              <c:f>Plots!$E$58:$N$58</c:f>
              <c:numCache>
                <c:formatCode>General</c:formatCode>
                <c:ptCount val="10"/>
                <c:pt idx="0">
                  <c:v>5.1000000000000004E-3</c:v>
                </c:pt>
                <c:pt idx="1">
                  <c:v>5.5999999999999999E-3</c:v>
                </c:pt>
                <c:pt idx="2">
                  <c:v>6.6E-3</c:v>
                </c:pt>
                <c:pt idx="3">
                  <c:v>7.6E-3</c:v>
                </c:pt>
                <c:pt idx="4">
                  <c:v>8.6E-3</c:v>
                </c:pt>
                <c:pt idx="5">
                  <c:v>9.7000000000000003E-3</c:v>
                </c:pt>
                <c:pt idx="6">
                  <c:v>1.17E-2</c:v>
                </c:pt>
                <c:pt idx="7">
                  <c:v>1.37E-2</c:v>
                </c:pt>
                <c:pt idx="8">
                  <c:v>1.5699999999999999E-2</c:v>
                </c:pt>
                <c:pt idx="9">
                  <c:v>1.78E-2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23296"/>
        <c:axId val="166630144"/>
      </c:lineChart>
      <c:catAx>
        <c:axId val="1676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of Momentum Dumping</a:t>
                </a:r>
                <a:r>
                  <a:rPr lang="en-US" baseline="0"/>
                  <a:t> Cycles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6630144"/>
        <c:crosses val="autoZero"/>
        <c:auto val="1"/>
        <c:lblAlgn val="ctr"/>
        <c:lblOffset val="100"/>
        <c:noMultiLvlLbl val="0"/>
      </c:catAx>
      <c:valAx>
        <c:axId val="166630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 Volume (m^3)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7623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Propellant</a:t>
            </a:r>
            <a:r>
              <a:rPr lang="en-US" baseline="0"/>
              <a:t> Mass as a Function of Mission Length (Case 3 and 4)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Plots!$D$16</c:f>
              <c:strCache>
                <c:ptCount val="1"/>
                <c:pt idx="0">
                  <c:v>Air</c:v>
                </c:pt>
              </c:strCache>
            </c:strRef>
          </c:tx>
          <c:val>
            <c:numRef>
              <c:f>Plots!$E$16:$N$16</c:f>
              <c:numCache>
                <c:formatCode>General</c:formatCode>
                <c:ptCount val="10"/>
                <c:pt idx="0">
                  <c:v>10.163</c:v>
                </c:pt>
                <c:pt idx="1">
                  <c:v>20.312999999999999</c:v>
                </c:pt>
                <c:pt idx="2">
                  <c:v>30.463000000000001</c:v>
                </c:pt>
                <c:pt idx="3">
                  <c:v>40.613</c:v>
                </c:pt>
                <c:pt idx="4">
                  <c:v>50.762999999999998</c:v>
                </c:pt>
                <c:pt idx="5">
                  <c:v>60.912999999999997</c:v>
                </c:pt>
                <c:pt idx="6">
                  <c:v>71.063000000000002</c:v>
                </c:pt>
                <c:pt idx="7">
                  <c:v>81.212999999999994</c:v>
                </c:pt>
                <c:pt idx="8">
                  <c:v>91.363</c:v>
                </c:pt>
                <c:pt idx="9">
                  <c:v>101.51300000000001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Plots!$D$17</c:f>
              <c:strCache>
                <c:ptCount val="1"/>
                <c:pt idx="0">
                  <c:v>Argon (Ar)</c:v>
                </c:pt>
              </c:strCache>
            </c:strRef>
          </c:tx>
          <c:val>
            <c:numRef>
              <c:f>Plots!$E$17:$N$17</c:f>
              <c:numCache>
                <c:formatCode>General</c:formatCode>
                <c:ptCount val="10"/>
                <c:pt idx="0">
                  <c:v>14.067</c:v>
                </c:pt>
                <c:pt idx="1">
                  <c:v>28.114999999999998</c:v>
                </c:pt>
                <c:pt idx="2">
                  <c:v>42.161999999999999</c:v>
                </c:pt>
                <c:pt idx="3">
                  <c:v>56.21</c:v>
                </c:pt>
                <c:pt idx="4">
                  <c:v>70.257999999999996</c:v>
                </c:pt>
                <c:pt idx="5">
                  <c:v>84.305999999999997</c:v>
                </c:pt>
                <c:pt idx="6">
                  <c:v>98.353999999999999</c:v>
                </c:pt>
                <c:pt idx="7">
                  <c:v>112.402</c:v>
                </c:pt>
                <c:pt idx="8">
                  <c:v>126.45</c:v>
                </c:pt>
                <c:pt idx="9">
                  <c:v>140.49700000000001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Plots!$D$18</c:f>
              <c:strCache>
                <c:ptCount val="1"/>
                <c:pt idx="0">
                  <c:v>C02</c:v>
                </c:pt>
              </c:strCache>
            </c:strRef>
          </c:tx>
          <c:val>
            <c:numRef>
              <c:f>Plots!$E$18:$N$18</c:f>
              <c:numCache>
                <c:formatCode>General</c:formatCode>
                <c:ptCount val="10"/>
                <c:pt idx="0">
                  <c:v>11.083</c:v>
                </c:pt>
                <c:pt idx="1">
                  <c:v>22.151</c:v>
                </c:pt>
                <c:pt idx="2">
                  <c:v>33.22</c:v>
                </c:pt>
                <c:pt idx="3">
                  <c:v>44.287999999999997</c:v>
                </c:pt>
                <c:pt idx="4">
                  <c:v>55.356000000000002</c:v>
                </c:pt>
                <c:pt idx="5">
                  <c:v>66.424000000000007</c:v>
                </c:pt>
                <c:pt idx="6">
                  <c:v>77.492000000000004</c:v>
                </c:pt>
                <c:pt idx="7">
                  <c:v>88.561000000000007</c:v>
                </c:pt>
                <c:pt idx="8">
                  <c:v>99.629000000000005</c:v>
                </c:pt>
                <c:pt idx="9">
                  <c:v>110.697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Plots!$D$19</c:f>
              <c:strCache>
                <c:ptCount val="1"/>
                <c:pt idx="0">
                  <c:v>He</c:v>
                </c:pt>
              </c:strCache>
            </c:strRef>
          </c:tx>
          <c:val>
            <c:numRef>
              <c:f>Plots!$E$19:$N$19</c:f>
              <c:numCache>
                <c:formatCode>General</c:formatCode>
                <c:ptCount val="10"/>
                <c:pt idx="0">
                  <c:v>4.4539999999999997</c:v>
                </c:pt>
                <c:pt idx="1">
                  <c:v>8.9019999999999992</c:v>
                </c:pt>
                <c:pt idx="2">
                  <c:v>13.35</c:v>
                </c:pt>
                <c:pt idx="3">
                  <c:v>17.797999999999998</c:v>
                </c:pt>
                <c:pt idx="4">
                  <c:v>22.245999999999999</c:v>
                </c:pt>
                <c:pt idx="5">
                  <c:v>26.693000000000001</c:v>
                </c:pt>
                <c:pt idx="6">
                  <c:v>31.140999999999998</c:v>
                </c:pt>
                <c:pt idx="7">
                  <c:v>35.588999999999999</c:v>
                </c:pt>
                <c:pt idx="8">
                  <c:v>40.036999999999999</c:v>
                </c:pt>
                <c:pt idx="9">
                  <c:v>44.484999999999999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Plots!$D$20</c:f>
              <c:strCache>
                <c:ptCount val="1"/>
                <c:pt idx="0">
                  <c:v>H2</c:v>
                </c:pt>
              </c:strCache>
            </c:strRef>
          </c:tx>
          <c:val>
            <c:numRef>
              <c:f>Plots!$E$20:$N$20</c:f>
              <c:numCache>
                <c:formatCode>General</c:formatCode>
                <c:ptCount val="10"/>
                <c:pt idx="0">
                  <c:v>2.6930000000000001</c:v>
                </c:pt>
                <c:pt idx="1">
                  <c:v>5.383</c:v>
                </c:pt>
                <c:pt idx="2">
                  <c:v>8.0730000000000004</c:v>
                </c:pt>
                <c:pt idx="3">
                  <c:v>10.762</c:v>
                </c:pt>
                <c:pt idx="4">
                  <c:v>13.452</c:v>
                </c:pt>
                <c:pt idx="5">
                  <c:v>16.141999999999999</c:v>
                </c:pt>
                <c:pt idx="6">
                  <c:v>18.831</c:v>
                </c:pt>
                <c:pt idx="7">
                  <c:v>21.521000000000001</c:v>
                </c:pt>
                <c:pt idx="8">
                  <c:v>24.210999999999999</c:v>
                </c:pt>
                <c:pt idx="9">
                  <c:v>26.9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Plots!$D$21</c:f>
              <c:strCache>
                <c:ptCount val="1"/>
                <c:pt idx="0">
                  <c:v>N2</c:v>
                </c:pt>
              </c:strCache>
            </c:strRef>
          </c:tx>
          <c:val>
            <c:numRef>
              <c:f>Plots!$E$21:$N$21</c:f>
              <c:numCache>
                <c:formatCode>General</c:formatCode>
                <c:ptCount val="10"/>
                <c:pt idx="0">
                  <c:v>9.9949999999999992</c:v>
                </c:pt>
                <c:pt idx="1">
                  <c:v>19.977</c:v>
                </c:pt>
                <c:pt idx="2">
                  <c:v>29.959</c:v>
                </c:pt>
                <c:pt idx="3">
                  <c:v>39.941000000000003</c:v>
                </c:pt>
                <c:pt idx="4">
                  <c:v>49.923000000000002</c:v>
                </c:pt>
                <c:pt idx="5">
                  <c:v>59.905000000000001</c:v>
                </c:pt>
                <c:pt idx="6">
                  <c:v>69.887</c:v>
                </c:pt>
                <c:pt idx="7">
                  <c:v>79.869</c:v>
                </c:pt>
                <c:pt idx="8">
                  <c:v>89.850999999999999</c:v>
                </c:pt>
                <c:pt idx="9">
                  <c:v>99.832999999999998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Plots!$D$22</c:f>
              <c:strCache>
                <c:ptCount val="1"/>
                <c:pt idx="0">
                  <c:v>O2</c:v>
                </c:pt>
              </c:strCache>
            </c:strRef>
          </c:tx>
          <c:val>
            <c:numRef>
              <c:f>Plots!$E$22:$N$22</c:f>
              <c:numCache>
                <c:formatCode>General</c:formatCode>
                <c:ptCount val="10"/>
                <c:pt idx="0">
                  <c:v>10.635</c:v>
                </c:pt>
                <c:pt idx="1">
                  <c:v>21.256</c:v>
                </c:pt>
                <c:pt idx="2">
                  <c:v>31.876000000000001</c:v>
                </c:pt>
                <c:pt idx="3">
                  <c:v>42.497</c:v>
                </c:pt>
                <c:pt idx="4">
                  <c:v>53.118000000000002</c:v>
                </c:pt>
                <c:pt idx="5">
                  <c:v>63.738999999999997</c:v>
                </c:pt>
                <c:pt idx="6">
                  <c:v>74.358999999999995</c:v>
                </c:pt>
                <c:pt idx="7">
                  <c:v>84.98</c:v>
                </c:pt>
                <c:pt idx="8">
                  <c:v>95.600999999999999</c:v>
                </c:pt>
                <c:pt idx="9">
                  <c:v>106.221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Plots!$D$23</c:f>
              <c:strCache>
                <c:ptCount val="1"/>
                <c:pt idx="0">
                  <c:v>Butane</c:v>
                </c:pt>
              </c:strCache>
            </c:strRef>
          </c:tx>
          <c:val>
            <c:numRef>
              <c:f>Plots!$E$23:$N$23</c:f>
              <c:numCache>
                <c:formatCode>General</c:formatCode>
                <c:ptCount val="10"/>
                <c:pt idx="0">
                  <c:v>7.9039999999999999</c:v>
                </c:pt>
                <c:pt idx="1">
                  <c:v>15.797000000000001</c:v>
                </c:pt>
                <c:pt idx="2">
                  <c:v>23.69</c:v>
                </c:pt>
                <c:pt idx="3">
                  <c:v>31.582999999999998</c:v>
                </c:pt>
                <c:pt idx="4">
                  <c:v>39.476999999999997</c:v>
                </c:pt>
                <c:pt idx="5">
                  <c:v>47.37</c:v>
                </c:pt>
                <c:pt idx="6">
                  <c:v>55.262999999999998</c:v>
                </c:pt>
                <c:pt idx="7">
                  <c:v>63.155999999999999</c:v>
                </c:pt>
                <c:pt idx="8">
                  <c:v>71.05</c:v>
                </c:pt>
                <c:pt idx="9">
                  <c:v>78.942999999999998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Plots!$D$24</c:f>
              <c:strCache>
                <c:ptCount val="1"/>
                <c:pt idx="0">
                  <c:v>Propane</c:v>
                </c:pt>
              </c:strCache>
            </c:strRef>
          </c:tx>
          <c:val>
            <c:numRef>
              <c:f>Plots!$E$24:$N$24</c:f>
              <c:numCache>
                <c:formatCode>General</c:formatCode>
                <c:ptCount val="10"/>
                <c:pt idx="0">
                  <c:v>7.673</c:v>
                </c:pt>
                <c:pt idx="1">
                  <c:v>15.336</c:v>
                </c:pt>
                <c:pt idx="2">
                  <c:v>22.998999999999999</c:v>
                </c:pt>
                <c:pt idx="3">
                  <c:v>30.661999999999999</c:v>
                </c:pt>
                <c:pt idx="4">
                  <c:v>38.325000000000003</c:v>
                </c:pt>
                <c:pt idx="5">
                  <c:v>45.988</c:v>
                </c:pt>
                <c:pt idx="6">
                  <c:v>53.651000000000003</c:v>
                </c:pt>
                <c:pt idx="7">
                  <c:v>61.314</c:v>
                </c:pt>
                <c:pt idx="8">
                  <c:v>68.997</c:v>
                </c:pt>
                <c:pt idx="9">
                  <c:v>76.64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Plots!$D$25</c:f>
              <c:strCache>
                <c:ptCount val="1"/>
                <c:pt idx="0">
                  <c:v>GREEN LMP-103X</c:v>
                </c:pt>
              </c:strCache>
            </c:strRef>
          </c:tx>
          <c:val>
            <c:numRef>
              <c:f>Plots!$E$25:$N$25</c:f>
              <c:numCache>
                <c:formatCode>General</c:formatCode>
                <c:ptCount val="10"/>
                <c:pt idx="0">
                  <c:v>3.1219999999999999</c:v>
                </c:pt>
                <c:pt idx="1">
                  <c:v>6.2389999999999999</c:v>
                </c:pt>
                <c:pt idx="2">
                  <c:v>9.3559999999999999</c:v>
                </c:pt>
                <c:pt idx="3">
                  <c:v>12.474</c:v>
                </c:pt>
                <c:pt idx="4">
                  <c:v>15.590999999999999</c:v>
                </c:pt>
                <c:pt idx="5">
                  <c:v>18.707999999999998</c:v>
                </c:pt>
                <c:pt idx="6">
                  <c:v>21.826000000000001</c:v>
                </c:pt>
                <c:pt idx="7">
                  <c:v>24.943000000000001</c:v>
                </c:pt>
                <c:pt idx="8">
                  <c:v>28.06</c:v>
                </c:pt>
                <c:pt idx="9">
                  <c:v>31.178000000000001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447552"/>
        <c:axId val="167488512"/>
      </c:lineChart>
      <c:catAx>
        <c:axId val="16744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Mission</a:t>
                </a:r>
                <a:r>
                  <a:rPr lang="en-US" baseline="0"/>
                  <a:t> Length (years)</a:t>
                </a:r>
                <a:endParaRPr lang="en-US"/>
              </a:p>
            </c:rich>
          </c:tx>
          <c:layout/>
          <c:overlay val="0"/>
        </c:title>
        <c:majorTickMark val="none"/>
        <c:minorTickMark val="none"/>
        <c:tickLblPos val="nextTo"/>
        <c:crossAx val="167488512"/>
        <c:crosses val="autoZero"/>
        <c:auto val="1"/>
        <c:lblAlgn val="ctr"/>
        <c:lblOffset val="100"/>
        <c:noMultiLvlLbl val="0"/>
      </c:catAx>
      <c:valAx>
        <c:axId val="167488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Propellant</a:t>
                </a:r>
                <a:r>
                  <a:rPr lang="en-US" baseline="0"/>
                  <a:t> Mass (kg)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744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Volume as a Function of Mission Length (Case 1 and 2) 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Plots!$D$28</c:f>
              <c:strCache>
                <c:ptCount val="1"/>
                <c:pt idx="0">
                  <c:v>C02</c:v>
                </c:pt>
              </c:strCache>
            </c:strRef>
          </c:tx>
          <c:val>
            <c:numRef>
              <c:f>Plots!$E$28:$N$28</c:f>
              <c:numCache>
                <c:formatCode>General</c:formatCode>
                <c:ptCount val="10"/>
                <c:pt idx="0">
                  <c:v>0.313</c:v>
                </c:pt>
                <c:pt idx="1">
                  <c:v>0.624</c:v>
                </c:pt>
                <c:pt idx="2">
                  <c:v>0.93400000000000005</c:v>
                </c:pt>
                <c:pt idx="3">
                  <c:v>1.2450000000000001</c:v>
                </c:pt>
                <c:pt idx="4">
                  <c:v>1.556</c:v>
                </c:pt>
                <c:pt idx="5">
                  <c:v>1.8660000000000001</c:v>
                </c:pt>
                <c:pt idx="6">
                  <c:v>2.177</c:v>
                </c:pt>
                <c:pt idx="7">
                  <c:v>2.4870000000000001</c:v>
                </c:pt>
                <c:pt idx="8">
                  <c:v>2.798</c:v>
                </c:pt>
                <c:pt idx="9">
                  <c:v>3.1080000000000001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Plots!$D$29</c:f>
              <c:strCache>
                <c:ptCount val="1"/>
                <c:pt idx="0">
                  <c:v>Butane</c:v>
                </c:pt>
              </c:strCache>
            </c:strRef>
          </c:tx>
          <c:val>
            <c:numRef>
              <c:f>Plots!$E$29:$N$29</c:f>
              <c:numCache>
                <c:formatCode>General</c:formatCode>
                <c:ptCount val="10"/>
                <c:pt idx="0">
                  <c:v>0.16900000000000001</c:v>
                </c:pt>
                <c:pt idx="1">
                  <c:v>0.33700000000000002</c:v>
                </c:pt>
                <c:pt idx="2">
                  <c:v>0.504</c:v>
                </c:pt>
                <c:pt idx="3">
                  <c:v>0.67200000000000004</c:v>
                </c:pt>
                <c:pt idx="4">
                  <c:v>0.84</c:v>
                </c:pt>
                <c:pt idx="5">
                  <c:v>1.0069999999999999</c:v>
                </c:pt>
                <c:pt idx="6">
                  <c:v>1.175</c:v>
                </c:pt>
                <c:pt idx="7">
                  <c:v>1.343</c:v>
                </c:pt>
                <c:pt idx="8">
                  <c:v>1.51</c:v>
                </c:pt>
                <c:pt idx="9">
                  <c:v>1.6779999999999999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Plots!$D$30</c:f>
              <c:strCache>
                <c:ptCount val="1"/>
                <c:pt idx="0">
                  <c:v>Propane</c:v>
                </c:pt>
              </c:strCache>
            </c:strRef>
          </c:tx>
          <c:val>
            <c:numRef>
              <c:f>Plots!$E$30:$N$30</c:f>
              <c:numCache>
                <c:formatCode>General</c:formatCode>
                <c:ptCount val="10"/>
                <c:pt idx="0">
                  <c:v>0.217</c:v>
                </c:pt>
                <c:pt idx="1">
                  <c:v>0.432</c:v>
                </c:pt>
                <c:pt idx="2">
                  <c:v>0.64700000000000002</c:v>
                </c:pt>
                <c:pt idx="3">
                  <c:v>0.86199999999999999</c:v>
                </c:pt>
                <c:pt idx="4">
                  <c:v>1.077</c:v>
                </c:pt>
                <c:pt idx="5">
                  <c:v>1.2929999999999999</c:v>
                </c:pt>
                <c:pt idx="6">
                  <c:v>1.508</c:v>
                </c:pt>
                <c:pt idx="7">
                  <c:v>1.7230000000000001</c:v>
                </c:pt>
                <c:pt idx="8">
                  <c:v>1.9379999999999999</c:v>
                </c:pt>
                <c:pt idx="9">
                  <c:v>2.153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Plots!$D$31</c:f>
              <c:strCache>
                <c:ptCount val="1"/>
                <c:pt idx="0">
                  <c:v>GREEN LMP-103X</c:v>
                </c:pt>
              </c:strCache>
            </c:strRef>
          </c:tx>
          <c:val>
            <c:numRef>
              <c:f>Plots!$E$31:$N$31</c:f>
              <c:numCache>
                <c:formatCode>General</c:formatCode>
                <c:ptCount val="10"/>
                <c:pt idx="0">
                  <c:v>2.0999999999999999E-3</c:v>
                </c:pt>
                <c:pt idx="1">
                  <c:v>4.1000000000000003E-3</c:v>
                </c:pt>
                <c:pt idx="2">
                  <c:v>6.1999999999999998E-3</c:v>
                </c:pt>
                <c:pt idx="3">
                  <c:v>8.3000000000000001E-3</c:v>
                </c:pt>
                <c:pt idx="4">
                  <c:v>1.03E-2</c:v>
                </c:pt>
                <c:pt idx="5">
                  <c:v>1.24E-2</c:v>
                </c:pt>
                <c:pt idx="6">
                  <c:v>1.44E-2</c:v>
                </c:pt>
                <c:pt idx="7">
                  <c:v>1.6500000000000001E-2</c:v>
                </c:pt>
                <c:pt idx="8">
                  <c:v>1.8599999999999998E-2</c:v>
                </c:pt>
                <c:pt idx="9">
                  <c:v>2.06E-2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521280"/>
        <c:axId val="167589760"/>
      </c:lineChart>
      <c:catAx>
        <c:axId val="16752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Mission Length (years)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67589760"/>
        <c:crosses val="autoZero"/>
        <c:auto val="1"/>
        <c:lblAlgn val="ctr"/>
        <c:lblOffset val="100"/>
        <c:noMultiLvlLbl val="0"/>
      </c:catAx>
      <c:valAx>
        <c:axId val="167589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</a:t>
                </a:r>
                <a:r>
                  <a:rPr lang="en-US" baseline="0"/>
                  <a:t> Volume (m^3)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7521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Volume as a Function of Mission Length (Case 1 and 2)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Plots!$D$31</c:f>
              <c:strCache>
                <c:ptCount val="1"/>
                <c:pt idx="0">
                  <c:v>GREEN LMP-103X</c:v>
                </c:pt>
              </c:strCache>
            </c:strRef>
          </c:tx>
          <c:val>
            <c:numRef>
              <c:f>Plots!$E$31:$N$31</c:f>
              <c:numCache>
                <c:formatCode>General</c:formatCode>
                <c:ptCount val="10"/>
                <c:pt idx="0">
                  <c:v>2.0999999999999999E-3</c:v>
                </c:pt>
                <c:pt idx="1">
                  <c:v>4.1000000000000003E-3</c:v>
                </c:pt>
                <c:pt idx="2">
                  <c:v>6.1999999999999998E-3</c:v>
                </c:pt>
                <c:pt idx="3">
                  <c:v>8.3000000000000001E-3</c:v>
                </c:pt>
                <c:pt idx="4">
                  <c:v>1.03E-2</c:v>
                </c:pt>
                <c:pt idx="5">
                  <c:v>1.24E-2</c:v>
                </c:pt>
                <c:pt idx="6">
                  <c:v>1.44E-2</c:v>
                </c:pt>
                <c:pt idx="7">
                  <c:v>1.6500000000000001E-2</c:v>
                </c:pt>
                <c:pt idx="8">
                  <c:v>1.8599999999999998E-2</c:v>
                </c:pt>
                <c:pt idx="9">
                  <c:v>2.06E-2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78016"/>
        <c:axId val="166834560"/>
      </c:lineChart>
      <c:catAx>
        <c:axId val="1658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Mission Length (years)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66834560"/>
        <c:crosses val="autoZero"/>
        <c:auto val="1"/>
        <c:lblAlgn val="ctr"/>
        <c:lblOffset val="100"/>
        <c:noMultiLvlLbl val="0"/>
      </c:catAx>
      <c:valAx>
        <c:axId val="166834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 Volume (m^3)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5878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Volume as a Function of Mission</a:t>
            </a:r>
            <a:r>
              <a:rPr lang="en-US" baseline="0"/>
              <a:t> Length (Case 3 and 4)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Plots!$D$33</c:f>
              <c:strCache>
                <c:ptCount val="1"/>
                <c:pt idx="0">
                  <c:v>C02</c:v>
                </c:pt>
              </c:strCache>
            </c:strRef>
          </c:tx>
          <c:val>
            <c:numRef>
              <c:f>Plots!$E$33:$N$33</c:f>
              <c:numCache>
                <c:formatCode>General</c:formatCode>
                <c:ptCount val="10"/>
                <c:pt idx="0">
                  <c:v>0.36199999999999999</c:v>
                </c:pt>
                <c:pt idx="1">
                  <c:v>0.72399999999999998</c:v>
                </c:pt>
                <c:pt idx="2">
                  <c:v>1.085</c:v>
                </c:pt>
                <c:pt idx="3">
                  <c:v>1.4470000000000001</c:v>
                </c:pt>
                <c:pt idx="4">
                  <c:v>1.8089999999999999</c:v>
                </c:pt>
                <c:pt idx="5">
                  <c:v>2.17</c:v>
                </c:pt>
                <c:pt idx="6">
                  <c:v>2.532</c:v>
                </c:pt>
                <c:pt idx="7">
                  <c:v>2.8940000000000001</c:v>
                </c:pt>
                <c:pt idx="8">
                  <c:v>3.2549999999999999</c:v>
                </c:pt>
                <c:pt idx="9">
                  <c:v>3.617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Plots!$D$34</c:f>
              <c:strCache>
                <c:ptCount val="1"/>
                <c:pt idx="0">
                  <c:v>Butane</c:v>
                </c:pt>
              </c:strCache>
            </c:strRef>
          </c:tx>
          <c:val>
            <c:numRef>
              <c:f>Plots!$E$34:$N$34</c:f>
              <c:numCache>
                <c:formatCode>General</c:formatCode>
                <c:ptCount val="10"/>
                <c:pt idx="0">
                  <c:v>0.19500000000000001</c:v>
                </c:pt>
                <c:pt idx="1">
                  <c:v>0.39100000000000001</c:v>
                </c:pt>
                <c:pt idx="2">
                  <c:v>0.58599999999999997</c:v>
                </c:pt>
                <c:pt idx="3">
                  <c:v>0.78100000000000003</c:v>
                </c:pt>
                <c:pt idx="4">
                  <c:v>0.97599999999999998</c:v>
                </c:pt>
                <c:pt idx="5">
                  <c:v>1.1719999999999999</c:v>
                </c:pt>
                <c:pt idx="6">
                  <c:v>1.367</c:v>
                </c:pt>
                <c:pt idx="7">
                  <c:v>1.5620000000000001</c:v>
                </c:pt>
                <c:pt idx="8">
                  <c:v>1.7569999999999999</c:v>
                </c:pt>
                <c:pt idx="9">
                  <c:v>1.9530000000000001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Plots!$D$35</c:f>
              <c:strCache>
                <c:ptCount val="1"/>
                <c:pt idx="0">
                  <c:v>Propane</c:v>
                </c:pt>
              </c:strCache>
            </c:strRef>
          </c:tx>
          <c:val>
            <c:numRef>
              <c:f>Plots!$E$35:$N$35</c:f>
              <c:numCache>
                <c:formatCode>General</c:formatCode>
                <c:ptCount val="10"/>
                <c:pt idx="0">
                  <c:v>0.251</c:v>
                </c:pt>
                <c:pt idx="1">
                  <c:v>0.501</c:v>
                </c:pt>
                <c:pt idx="2">
                  <c:v>0.752</c:v>
                </c:pt>
                <c:pt idx="3">
                  <c:v>1.002</c:v>
                </c:pt>
                <c:pt idx="4">
                  <c:v>1.2529999999999999</c:v>
                </c:pt>
                <c:pt idx="5">
                  <c:v>1.5029999999999999</c:v>
                </c:pt>
                <c:pt idx="6">
                  <c:v>1.754</c:v>
                </c:pt>
                <c:pt idx="7">
                  <c:v>2.004</c:v>
                </c:pt>
                <c:pt idx="8">
                  <c:v>2.2549999999999999</c:v>
                </c:pt>
                <c:pt idx="9">
                  <c:v>2.5049999999999999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Plots!$D$36</c:f>
              <c:strCache>
                <c:ptCount val="1"/>
                <c:pt idx="0">
                  <c:v>GREEN LMP-103X</c:v>
                </c:pt>
              </c:strCache>
            </c:strRef>
          </c:tx>
          <c:val>
            <c:numRef>
              <c:f>Plots!$E$36:$N$36</c:f>
              <c:numCache>
                <c:formatCode>General</c:formatCode>
                <c:ptCount val="10"/>
                <c:pt idx="0">
                  <c:v>2.3999999999999998E-3</c:v>
                </c:pt>
                <c:pt idx="1">
                  <c:v>4.7999999999999996E-3</c:v>
                </c:pt>
                <c:pt idx="2">
                  <c:v>7.1999999999999998E-3</c:v>
                </c:pt>
                <c:pt idx="3">
                  <c:v>9.5999999999999992E-3</c:v>
                </c:pt>
                <c:pt idx="4">
                  <c:v>1.2E-2</c:v>
                </c:pt>
                <c:pt idx="5">
                  <c:v>1.44E-2</c:v>
                </c:pt>
                <c:pt idx="6">
                  <c:v>1.6799999999999999E-2</c:v>
                </c:pt>
                <c:pt idx="7">
                  <c:v>1.9199999999999998E-2</c:v>
                </c:pt>
                <c:pt idx="8">
                  <c:v>2.1600000000000001E-2</c:v>
                </c:pt>
                <c:pt idx="9">
                  <c:v>2.4E-2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996992"/>
        <c:axId val="167384192"/>
      </c:lineChart>
      <c:catAx>
        <c:axId val="16699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Mission Length (years)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67384192"/>
        <c:crosses val="autoZero"/>
        <c:auto val="1"/>
        <c:lblAlgn val="ctr"/>
        <c:lblOffset val="100"/>
        <c:noMultiLvlLbl val="0"/>
      </c:catAx>
      <c:valAx>
        <c:axId val="167384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 Volume</a:t>
                </a:r>
                <a:r>
                  <a:rPr lang="en-US" baseline="0"/>
                  <a:t> (m^3)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6996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Volume as a Function of Mission Length (Case 3</a:t>
            </a:r>
            <a:r>
              <a:rPr lang="en-US" baseline="0"/>
              <a:t> and 4</a:t>
            </a:r>
            <a:r>
              <a:rPr lang="en-US"/>
              <a:t>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Plots!$D$36</c:f>
              <c:strCache>
                <c:ptCount val="1"/>
                <c:pt idx="0">
                  <c:v>GREEN LMP-103X</c:v>
                </c:pt>
              </c:strCache>
            </c:strRef>
          </c:tx>
          <c:val>
            <c:numRef>
              <c:f>Plots!$E$36:$N$36</c:f>
              <c:numCache>
                <c:formatCode>General</c:formatCode>
                <c:ptCount val="10"/>
                <c:pt idx="0">
                  <c:v>2.3999999999999998E-3</c:v>
                </c:pt>
                <c:pt idx="1">
                  <c:v>4.7999999999999996E-3</c:v>
                </c:pt>
                <c:pt idx="2">
                  <c:v>7.1999999999999998E-3</c:v>
                </c:pt>
                <c:pt idx="3">
                  <c:v>9.5999999999999992E-3</c:v>
                </c:pt>
                <c:pt idx="4">
                  <c:v>1.2E-2</c:v>
                </c:pt>
                <c:pt idx="5">
                  <c:v>1.44E-2</c:v>
                </c:pt>
                <c:pt idx="6">
                  <c:v>1.6799999999999999E-2</c:v>
                </c:pt>
                <c:pt idx="7">
                  <c:v>1.9199999999999998E-2</c:v>
                </c:pt>
                <c:pt idx="8">
                  <c:v>2.1600000000000001E-2</c:v>
                </c:pt>
                <c:pt idx="9">
                  <c:v>2.4E-2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536128"/>
        <c:axId val="167538048"/>
      </c:lineChart>
      <c:catAx>
        <c:axId val="16753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Mission Length (years)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67538048"/>
        <c:crosses val="autoZero"/>
        <c:auto val="1"/>
        <c:lblAlgn val="ctr"/>
        <c:lblOffset val="100"/>
        <c:noMultiLvlLbl val="0"/>
      </c:catAx>
      <c:valAx>
        <c:axId val="167538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 Volume (m^3)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75361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Size With</a:t>
            </a:r>
            <a:r>
              <a:rPr lang="en-US" baseline="0"/>
              <a:t> Varying Slew Maneuver Time (Case 1 and 2)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Plots!$D$39</c:f>
              <c:strCache>
                <c:ptCount val="1"/>
                <c:pt idx="0">
                  <c:v>C02</c:v>
                </c:pt>
              </c:strCache>
            </c:strRef>
          </c:tx>
          <c:cat>
            <c:numRef>
              <c:f>Plots!$E$38:$N$38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cat>
          <c:val>
            <c:numRef>
              <c:f>Plots!$E$39:$N$39</c:f>
              <c:numCache>
                <c:formatCode>General</c:formatCode>
                <c:ptCount val="10"/>
                <c:pt idx="0">
                  <c:v>2.3919999999999999</c:v>
                </c:pt>
                <c:pt idx="1">
                  <c:v>1.952</c:v>
                </c:pt>
                <c:pt idx="2">
                  <c:v>1.6</c:v>
                </c:pt>
                <c:pt idx="3">
                  <c:v>1.556</c:v>
                </c:pt>
                <c:pt idx="4">
                  <c:v>1.534</c:v>
                </c:pt>
                <c:pt idx="5">
                  <c:v>1.526</c:v>
                </c:pt>
                <c:pt idx="6">
                  <c:v>1.5189999999999999</c:v>
                </c:pt>
                <c:pt idx="7">
                  <c:v>1.516</c:v>
                </c:pt>
                <c:pt idx="8">
                  <c:v>1.5149999999999999</c:v>
                </c:pt>
                <c:pt idx="9">
                  <c:v>1.514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Plots!$D$40</c:f>
              <c:strCache>
                <c:ptCount val="1"/>
                <c:pt idx="0">
                  <c:v>Butane</c:v>
                </c:pt>
              </c:strCache>
            </c:strRef>
          </c:tx>
          <c:cat>
            <c:numRef>
              <c:f>Plots!$E$38:$N$38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cat>
          <c:val>
            <c:numRef>
              <c:f>Plots!$E$40:$N$40</c:f>
              <c:numCache>
                <c:formatCode>General</c:formatCode>
                <c:ptCount val="10"/>
                <c:pt idx="0">
                  <c:v>1.2909999999999999</c:v>
                </c:pt>
                <c:pt idx="1">
                  <c:v>1.054</c:v>
                </c:pt>
                <c:pt idx="2">
                  <c:v>0.86399999999999999</c:v>
                </c:pt>
                <c:pt idx="3">
                  <c:v>0.84</c:v>
                </c:pt>
                <c:pt idx="4">
                  <c:v>0.82799999999999996</c:v>
                </c:pt>
                <c:pt idx="5">
                  <c:v>0.82399999999999995</c:v>
                </c:pt>
                <c:pt idx="6">
                  <c:v>0.82</c:v>
                </c:pt>
                <c:pt idx="7">
                  <c:v>0.81899999999999995</c:v>
                </c:pt>
                <c:pt idx="8">
                  <c:v>0.81799999999999995</c:v>
                </c:pt>
                <c:pt idx="9">
                  <c:v>0.81799999999999995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Plots!$D$41</c:f>
              <c:strCache>
                <c:ptCount val="1"/>
                <c:pt idx="0">
                  <c:v>Propane</c:v>
                </c:pt>
              </c:strCache>
            </c:strRef>
          </c:tx>
          <c:cat>
            <c:numRef>
              <c:f>Plots!$E$38:$N$38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cat>
          <c:val>
            <c:numRef>
              <c:f>Plots!$E$41:$N$41</c:f>
              <c:numCache>
                <c:formatCode>General</c:formatCode>
                <c:ptCount val="10"/>
                <c:pt idx="0">
                  <c:v>1.657</c:v>
                </c:pt>
                <c:pt idx="1">
                  <c:v>1.3520000000000001</c:v>
                </c:pt>
                <c:pt idx="2">
                  <c:v>1.1080000000000001</c:v>
                </c:pt>
                <c:pt idx="3">
                  <c:v>1.077</c:v>
                </c:pt>
                <c:pt idx="4">
                  <c:v>1.0620000000000001</c:v>
                </c:pt>
                <c:pt idx="5">
                  <c:v>1.0569999999999999</c:v>
                </c:pt>
                <c:pt idx="6">
                  <c:v>1.052</c:v>
                </c:pt>
                <c:pt idx="7">
                  <c:v>1.05</c:v>
                </c:pt>
                <c:pt idx="8">
                  <c:v>1.05</c:v>
                </c:pt>
                <c:pt idx="9">
                  <c:v>1.0489999999999999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44864"/>
        <c:axId val="165851136"/>
      </c:lineChart>
      <c:catAx>
        <c:axId val="16584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for Slew Maneuver (min.)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5851136"/>
        <c:crosses val="autoZero"/>
        <c:auto val="1"/>
        <c:lblAlgn val="ctr"/>
        <c:lblOffset val="100"/>
        <c:noMultiLvlLbl val="0"/>
      </c:catAx>
      <c:valAx>
        <c:axId val="1658511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 Volume (m^3)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5844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Size With Varying Slew Maneuver TIme (Case 1 and 2)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Plots!$D$42</c:f>
              <c:strCache>
                <c:ptCount val="1"/>
                <c:pt idx="0">
                  <c:v>GREEN LMP-103X</c:v>
                </c:pt>
              </c:strCache>
            </c:strRef>
          </c:tx>
          <c:cat>
            <c:numRef>
              <c:f>Plots!$E$38:$N$38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cat>
          <c:val>
            <c:numRef>
              <c:f>Plots!$E$42:$N$42</c:f>
              <c:numCache>
                <c:formatCode>General</c:formatCode>
                <c:ptCount val="10"/>
                <c:pt idx="0">
                  <c:v>1.5900000000000001E-2</c:v>
                </c:pt>
                <c:pt idx="1">
                  <c:v>1.29E-2</c:v>
                </c:pt>
                <c:pt idx="2">
                  <c:v>1.06E-2</c:v>
                </c:pt>
                <c:pt idx="3">
                  <c:v>1.03E-2</c:v>
                </c:pt>
                <c:pt idx="4">
                  <c:v>1.0200000000000001E-2</c:v>
                </c:pt>
                <c:pt idx="5">
                  <c:v>1.01E-2</c:v>
                </c:pt>
                <c:pt idx="6">
                  <c:v>1.01E-2</c:v>
                </c:pt>
                <c:pt idx="7">
                  <c:v>1.01E-2</c:v>
                </c:pt>
                <c:pt idx="8">
                  <c:v>0.01</c:v>
                </c:pt>
                <c:pt idx="9">
                  <c:v>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10560"/>
        <c:axId val="165812480"/>
      </c:lineChart>
      <c:catAx>
        <c:axId val="16581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for Slew Maneuver (min.)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5812480"/>
        <c:crosses val="autoZero"/>
        <c:auto val="1"/>
        <c:lblAlgn val="ctr"/>
        <c:lblOffset val="100"/>
        <c:noMultiLvlLbl val="0"/>
      </c:catAx>
      <c:valAx>
        <c:axId val="1658124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 Volume (m^3)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5810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Tank </a:t>
            </a:r>
            <a:r>
              <a:rPr lang="en-US" baseline="0"/>
              <a:t>Size With Varying Slew Maneuver Time (Case 3 and 4) 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Plots!$D$44</c:f>
              <c:strCache>
                <c:ptCount val="1"/>
                <c:pt idx="0">
                  <c:v>C02</c:v>
                </c:pt>
              </c:strCache>
            </c:strRef>
          </c:tx>
          <c:cat>
            <c:numRef>
              <c:f>Plots!$E$38:$N$38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cat>
          <c:val>
            <c:numRef>
              <c:f>Plots!$E$44:$N$44</c:f>
              <c:numCache>
                <c:formatCode>General</c:formatCode>
                <c:ptCount val="10"/>
                <c:pt idx="0">
                  <c:v>14.944000000000001</c:v>
                </c:pt>
                <c:pt idx="1">
                  <c:v>8.0310000000000006</c:v>
                </c:pt>
                <c:pt idx="2">
                  <c:v>2.5</c:v>
                </c:pt>
                <c:pt idx="3">
                  <c:v>1.8089999999999999</c:v>
                </c:pt>
                <c:pt idx="4">
                  <c:v>1.4630000000000001</c:v>
                </c:pt>
                <c:pt idx="5">
                  <c:v>1.3480000000000001</c:v>
                </c:pt>
                <c:pt idx="6">
                  <c:v>1.2330000000000001</c:v>
                </c:pt>
                <c:pt idx="7">
                  <c:v>1.194</c:v>
                </c:pt>
                <c:pt idx="8">
                  <c:v>1.175</c:v>
                </c:pt>
                <c:pt idx="9">
                  <c:v>1.163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Plots!$D$45</c:f>
              <c:strCache>
                <c:ptCount val="1"/>
                <c:pt idx="0">
                  <c:v>Butane</c:v>
                </c:pt>
              </c:strCache>
            </c:strRef>
          </c:tx>
          <c:cat>
            <c:numRef>
              <c:f>Plots!$E$38:$N$38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cat>
          <c:val>
            <c:numRef>
              <c:f>Plots!$E$45:$N$45</c:f>
              <c:numCache>
                <c:formatCode>General</c:formatCode>
                <c:ptCount val="10"/>
                <c:pt idx="0">
                  <c:v>8.0679999999999996</c:v>
                </c:pt>
                <c:pt idx="1">
                  <c:v>4.3360000000000003</c:v>
                </c:pt>
                <c:pt idx="2">
                  <c:v>1.35</c:v>
                </c:pt>
                <c:pt idx="3">
                  <c:v>0.97599999999999998</c:v>
                </c:pt>
                <c:pt idx="4">
                  <c:v>0.79</c:v>
                </c:pt>
                <c:pt idx="5">
                  <c:v>0.72799999999999998</c:v>
                </c:pt>
                <c:pt idx="6">
                  <c:v>0.66500000000000004</c:v>
                </c:pt>
                <c:pt idx="7">
                  <c:v>0.64500000000000002</c:v>
                </c:pt>
                <c:pt idx="8">
                  <c:v>0.63400000000000001</c:v>
                </c:pt>
                <c:pt idx="9">
                  <c:v>0.628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Plots!$D$46</c:f>
              <c:strCache>
                <c:ptCount val="1"/>
                <c:pt idx="0">
                  <c:v>Propane</c:v>
                </c:pt>
              </c:strCache>
            </c:strRef>
          </c:tx>
          <c:cat>
            <c:numRef>
              <c:f>Plots!$E$38:$N$38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cat>
          <c:val>
            <c:numRef>
              <c:f>Plots!$E$46:$N$46</c:f>
              <c:numCache>
                <c:formatCode>General</c:formatCode>
                <c:ptCount val="10"/>
                <c:pt idx="0">
                  <c:v>10.352</c:v>
                </c:pt>
                <c:pt idx="1">
                  <c:v>5.5629999999999997</c:v>
                </c:pt>
                <c:pt idx="2">
                  <c:v>1.732</c:v>
                </c:pt>
                <c:pt idx="3">
                  <c:v>1.2529999999999999</c:v>
                </c:pt>
                <c:pt idx="4">
                  <c:v>1.0129999999999999</c:v>
                </c:pt>
                <c:pt idx="5">
                  <c:v>0.93400000000000005</c:v>
                </c:pt>
                <c:pt idx="6">
                  <c:v>0.85399999999999998</c:v>
                </c:pt>
                <c:pt idx="7">
                  <c:v>0.82699999999999996</c:v>
                </c:pt>
                <c:pt idx="8">
                  <c:v>0.81399999999999995</c:v>
                </c:pt>
                <c:pt idx="9">
                  <c:v>0.80600000000000005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38336"/>
        <c:axId val="157440256"/>
      </c:lineChart>
      <c:catAx>
        <c:axId val="1574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for Slew Maneuver (min.)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7440256"/>
        <c:crosses val="autoZero"/>
        <c:auto val="1"/>
        <c:lblAlgn val="ctr"/>
        <c:lblOffset val="100"/>
        <c:noMultiLvlLbl val="0"/>
      </c:catAx>
      <c:valAx>
        <c:axId val="1574402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Tank Volume (m^3)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7438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257175</xdr:colOff>
      <xdr:row>4</xdr:row>
      <xdr:rowOff>576261</xdr:rowOff>
    </xdr:from>
    <xdr:to>
      <xdr:col>24</xdr:col>
      <xdr:colOff>409575</xdr:colOff>
      <xdr:row>24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285750</xdr:colOff>
      <xdr:row>24</xdr:row>
      <xdr:rowOff>138112</xdr:rowOff>
    </xdr:from>
    <xdr:to>
      <xdr:col>24</xdr:col>
      <xdr:colOff>438150</xdr:colOff>
      <xdr:row>33</xdr:row>
      <xdr:rowOff>695325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390525</xdr:colOff>
      <xdr:row>34</xdr:row>
      <xdr:rowOff>52387</xdr:rowOff>
    </xdr:from>
    <xdr:to>
      <xdr:col>22</xdr:col>
      <xdr:colOff>85725</xdr:colOff>
      <xdr:row>45</xdr:row>
      <xdr:rowOff>119062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419100</xdr:colOff>
      <xdr:row>34</xdr:row>
      <xdr:rowOff>80962</xdr:rowOff>
    </xdr:from>
    <xdr:to>
      <xdr:col>30</xdr:col>
      <xdr:colOff>114300</xdr:colOff>
      <xdr:row>45</xdr:row>
      <xdr:rowOff>147637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409575</xdr:colOff>
      <xdr:row>46</xdr:row>
      <xdr:rowOff>33337</xdr:rowOff>
    </xdr:from>
    <xdr:to>
      <xdr:col>22</xdr:col>
      <xdr:colOff>104775</xdr:colOff>
      <xdr:row>60</xdr:row>
      <xdr:rowOff>109537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409575</xdr:colOff>
      <xdr:row>46</xdr:row>
      <xdr:rowOff>119062</xdr:rowOff>
    </xdr:from>
    <xdr:to>
      <xdr:col>30</xdr:col>
      <xdr:colOff>104775</xdr:colOff>
      <xdr:row>61</xdr:row>
      <xdr:rowOff>4762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409575</xdr:colOff>
      <xdr:row>61</xdr:row>
      <xdr:rowOff>185737</xdr:rowOff>
    </xdr:from>
    <xdr:to>
      <xdr:col>22</xdr:col>
      <xdr:colOff>104775</xdr:colOff>
      <xdr:row>76</xdr:row>
      <xdr:rowOff>71437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476250</xdr:colOff>
      <xdr:row>61</xdr:row>
      <xdr:rowOff>147637</xdr:rowOff>
    </xdr:from>
    <xdr:to>
      <xdr:col>30</xdr:col>
      <xdr:colOff>171450</xdr:colOff>
      <xdr:row>76</xdr:row>
      <xdr:rowOff>33337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400049</xdr:colOff>
      <xdr:row>77</xdr:row>
      <xdr:rowOff>33337</xdr:rowOff>
    </xdr:from>
    <xdr:to>
      <xdr:col>22</xdr:col>
      <xdr:colOff>161924</xdr:colOff>
      <xdr:row>92</xdr:row>
      <xdr:rowOff>9525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22</xdr:col>
      <xdr:colOff>485775</xdr:colOff>
      <xdr:row>77</xdr:row>
      <xdr:rowOff>23812</xdr:rowOff>
    </xdr:from>
    <xdr:to>
      <xdr:col>30</xdr:col>
      <xdr:colOff>180975</xdr:colOff>
      <xdr:row>91</xdr:row>
      <xdr:rowOff>100012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552450</xdr:colOff>
      <xdr:row>92</xdr:row>
      <xdr:rowOff>109537</xdr:rowOff>
    </xdr:from>
    <xdr:to>
      <xdr:col>22</xdr:col>
      <xdr:colOff>247650</xdr:colOff>
      <xdr:row>106</xdr:row>
      <xdr:rowOff>185737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600075</xdr:colOff>
      <xdr:row>92</xdr:row>
      <xdr:rowOff>71437</xdr:rowOff>
    </xdr:from>
    <xdr:to>
      <xdr:col>30</xdr:col>
      <xdr:colOff>295275</xdr:colOff>
      <xdr:row>106</xdr:row>
      <xdr:rowOff>147637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19050</xdr:colOff>
      <xdr:row>107</xdr:row>
      <xdr:rowOff>71437</xdr:rowOff>
    </xdr:from>
    <xdr:to>
      <xdr:col>22</xdr:col>
      <xdr:colOff>323850</xdr:colOff>
      <xdr:row>121</xdr:row>
      <xdr:rowOff>147637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23</xdr:col>
      <xdr:colOff>66675</xdr:colOff>
      <xdr:row>107</xdr:row>
      <xdr:rowOff>42862</xdr:rowOff>
    </xdr:from>
    <xdr:to>
      <xdr:col>30</xdr:col>
      <xdr:colOff>371475</xdr:colOff>
      <xdr:row>121</xdr:row>
      <xdr:rowOff>119062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o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s"/>
      <sheetName val="Sheet1"/>
      <sheetName val="Sheet2"/>
      <sheetName val="Sheet3"/>
    </sheetNames>
    <sheetDataSet>
      <sheetData sheetId="0">
        <row r="5">
          <cell r="D5" t="str">
            <v>Air</v>
          </cell>
          <cell r="E5">
            <v>8.7929999999999993</v>
          </cell>
          <cell r="F5">
            <v>17.509</v>
          </cell>
          <cell r="G5">
            <v>26.225000000000001</v>
          </cell>
          <cell r="H5">
            <v>34.941000000000003</v>
          </cell>
          <cell r="I5">
            <v>43.656999999999996</v>
          </cell>
          <cell r="J5">
            <v>52.372999999999998</v>
          </cell>
          <cell r="K5">
            <v>61.088999999999999</v>
          </cell>
          <cell r="L5">
            <v>69.805000000000007</v>
          </cell>
          <cell r="M5">
            <v>78.521000000000001</v>
          </cell>
          <cell r="N5">
            <v>87.236999999999995</v>
          </cell>
        </row>
        <row r="6">
          <cell r="D6" t="str">
            <v>Argon (Ar)</v>
          </cell>
          <cell r="E6">
            <v>12.170999999999999</v>
          </cell>
          <cell r="F6">
            <v>24.234999999999999</v>
          </cell>
          <cell r="G6">
            <v>36.298000000000002</v>
          </cell>
          <cell r="H6">
            <v>48.360999999999997</v>
          </cell>
          <cell r="I6">
            <v>60.424999999999997</v>
          </cell>
          <cell r="J6">
            <v>72.488</v>
          </cell>
          <cell r="K6">
            <v>84.552000000000007</v>
          </cell>
          <cell r="L6">
            <v>96.614999999999995</v>
          </cell>
          <cell r="M6">
            <v>108.678</v>
          </cell>
          <cell r="N6">
            <v>120.742</v>
          </cell>
        </row>
        <row r="7">
          <cell r="D7" t="str">
            <v>C02</v>
          </cell>
          <cell r="E7">
            <v>9.5890000000000004</v>
          </cell>
          <cell r="F7">
            <v>19.093</v>
          </cell>
          <cell r="G7">
            <v>28.597999999999999</v>
          </cell>
          <cell r="H7">
            <v>38.103000000000002</v>
          </cell>
          <cell r="I7">
            <v>47.606999999999999</v>
          </cell>
          <cell r="J7">
            <v>57.112000000000002</v>
          </cell>
          <cell r="K7">
            <v>66.617000000000004</v>
          </cell>
          <cell r="L7">
            <v>76.120999999999995</v>
          </cell>
          <cell r="M7">
            <v>85.626000000000005</v>
          </cell>
          <cell r="N7">
            <v>95.131</v>
          </cell>
        </row>
        <row r="8">
          <cell r="D8" t="str">
            <v>He</v>
          </cell>
          <cell r="E8">
            <v>3.8519999999999999</v>
          </cell>
          <cell r="F8">
            <v>7.6719999999999997</v>
          </cell>
          <cell r="G8">
            <v>11.491</v>
          </cell>
          <cell r="H8">
            <v>15.311</v>
          </cell>
          <cell r="I8">
            <v>19.131</v>
          </cell>
          <cell r="J8">
            <v>22.95</v>
          </cell>
          <cell r="K8">
            <v>26.77</v>
          </cell>
          <cell r="L8">
            <v>30.588999999999999</v>
          </cell>
          <cell r="M8">
            <v>34.408999999999999</v>
          </cell>
          <cell r="N8">
            <v>38.228999999999999</v>
          </cell>
        </row>
        <row r="9">
          <cell r="D9" t="str">
            <v>H2</v>
          </cell>
          <cell r="E9">
            <v>2.3290000000000002</v>
          </cell>
          <cell r="F9">
            <v>4.6390000000000002</v>
          </cell>
          <cell r="G9">
            <v>6.9489999999999998</v>
          </cell>
          <cell r="H9">
            <v>9.2590000000000003</v>
          </cell>
          <cell r="I9">
            <v>11.568</v>
          </cell>
          <cell r="J9">
            <v>13.878</v>
          </cell>
          <cell r="K9">
            <v>16.187999999999999</v>
          </cell>
          <cell r="L9">
            <v>18.497</v>
          </cell>
          <cell r="M9">
            <v>20.806999999999999</v>
          </cell>
          <cell r="N9">
            <v>23.117000000000001</v>
          </cell>
        </row>
        <row r="10">
          <cell r="D10" t="str">
            <v>N2</v>
          </cell>
          <cell r="E10">
            <v>8.6470000000000002</v>
          </cell>
          <cell r="F10">
            <v>17.219000000000001</v>
          </cell>
          <cell r="G10">
            <v>25.791</v>
          </cell>
          <cell r="H10">
            <v>34.363</v>
          </cell>
          <cell r="I10">
            <v>42.935000000000002</v>
          </cell>
          <cell r="J10">
            <v>51.506</v>
          </cell>
          <cell r="K10">
            <v>60.078000000000003</v>
          </cell>
          <cell r="L10">
            <v>68.650000000000006</v>
          </cell>
          <cell r="M10">
            <v>77.221999999999994</v>
          </cell>
          <cell r="N10">
            <v>85.793999999999997</v>
          </cell>
        </row>
        <row r="11">
          <cell r="D11" t="str">
            <v>O2</v>
          </cell>
          <cell r="E11">
            <v>9.2010000000000005</v>
          </cell>
          <cell r="F11">
            <v>18.321000000000002</v>
          </cell>
          <cell r="G11">
            <v>27.440999999999999</v>
          </cell>
          <cell r="H11">
            <v>36.561999999999998</v>
          </cell>
          <cell r="I11">
            <v>45.682000000000002</v>
          </cell>
          <cell r="J11">
            <v>54.802999999999997</v>
          </cell>
          <cell r="K11">
            <v>63.923000000000002</v>
          </cell>
          <cell r="L11">
            <v>73.043000000000006</v>
          </cell>
          <cell r="M11">
            <v>82.164000000000001</v>
          </cell>
          <cell r="N11">
            <v>91.284000000000006</v>
          </cell>
        </row>
        <row r="12">
          <cell r="D12" t="str">
            <v>Butane</v>
          </cell>
          <cell r="E12">
            <v>6.8369999999999997</v>
          </cell>
          <cell r="F12">
            <v>13.615</v>
          </cell>
          <cell r="G12">
            <v>20.393999999999998</v>
          </cell>
          <cell r="H12">
            <v>27.172000000000001</v>
          </cell>
          <cell r="I12">
            <v>33.950000000000003</v>
          </cell>
          <cell r="J12">
            <v>40.728000000000002</v>
          </cell>
          <cell r="K12">
            <v>47.506</v>
          </cell>
          <cell r="L12">
            <v>54.284999999999997</v>
          </cell>
          <cell r="M12">
            <v>61.063000000000002</v>
          </cell>
          <cell r="N12">
            <v>67.840999999999994</v>
          </cell>
        </row>
        <row r="13">
          <cell r="D13" t="str">
            <v>Propane</v>
          </cell>
          <cell r="E13">
            <v>6.6379999999999999</v>
          </cell>
          <cell r="F13">
            <v>13.218</v>
          </cell>
          <cell r="G13">
            <v>19.798999999999999</v>
          </cell>
          <cell r="H13">
            <v>26.379000000000001</v>
          </cell>
          <cell r="I13">
            <v>32.959000000000003</v>
          </cell>
          <cell r="J13">
            <v>39.54</v>
          </cell>
          <cell r="K13">
            <v>46.12</v>
          </cell>
          <cell r="L13">
            <v>52.701000000000001</v>
          </cell>
          <cell r="M13">
            <v>59.280999999999999</v>
          </cell>
          <cell r="N13">
            <v>65.861999999999995</v>
          </cell>
        </row>
        <row r="14">
          <cell r="D14" t="str">
            <v>GREEN LMP-103X</v>
          </cell>
          <cell r="E14">
            <v>2.7</v>
          </cell>
          <cell r="F14">
            <v>5.3769999999999998</v>
          </cell>
          <cell r="G14">
            <v>8.0540000000000003</v>
          </cell>
          <cell r="H14">
            <v>10.731</v>
          </cell>
          <cell r="I14">
            <v>13.407999999999999</v>
          </cell>
          <cell r="J14">
            <v>16.085000000000001</v>
          </cell>
          <cell r="K14">
            <v>18.762</v>
          </cell>
          <cell r="L14">
            <v>21.439</v>
          </cell>
          <cell r="M14">
            <v>24.116</v>
          </cell>
          <cell r="N14">
            <v>26.792999999999999</v>
          </cell>
        </row>
        <row r="16">
          <cell r="D16" t="str">
            <v>Air</v>
          </cell>
          <cell r="E16">
            <v>10.163</v>
          </cell>
          <cell r="F16">
            <v>20.312999999999999</v>
          </cell>
          <cell r="G16">
            <v>30.463000000000001</v>
          </cell>
          <cell r="H16">
            <v>40.613</v>
          </cell>
          <cell r="I16">
            <v>50.762999999999998</v>
          </cell>
          <cell r="J16">
            <v>60.912999999999997</v>
          </cell>
          <cell r="K16">
            <v>71.063000000000002</v>
          </cell>
          <cell r="L16">
            <v>81.212999999999994</v>
          </cell>
          <cell r="M16">
            <v>91.363</v>
          </cell>
          <cell r="N16">
            <v>101.51300000000001</v>
          </cell>
        </row>
        <row r="17">
          <cell r="D17" t="str">
            <v>Argon (Ar)</v>
          </cell>
          <cell r="E17">
            <v>14.067</v>
          </cell>
          <cell r="F17">
            <v>28.114999999999998</v>
          </cell>
          <cell r="G17">
            <v>42.161999999999999</v>
          </cell>
          <cell r="H17">
            <v>56.21</v>
          </cell>
          <cell r="I17">
            <v>70.257999999999996</v>
          </cell>
          <cell r="J17">
            <v>84.305999999999997</v>
          </cell>
          <cell r="K17">
            <v>98.353999999999999</v>
          </cell>
          <cell r="L17">
            <v>112.402</v>
          </cell>
          <cell r="M17">
            <v>126.45</v>
          </cell>
          <cell r="N17">
            <v>140.49700000000001</v>
          </cell>
        </row>
        <row r="18">
          <cell r="D18" t="str">
            <v>C02</v>
          </cell>
          <cell r="E18">
            <v>11.083</v>
          </cell>
          <cell r="F18">
            <v>22.151</v>
          </cell>
          <cell r="G18">
            <v>33.22</v>
          </cell>
          <cell r="H18">
            <v>44.287999999999997</v>
          </cell>
          <cell r="I18">
            <v>55.356000000000002</v>
          </cell>
          <cell r="J18">
            <v>66.424000000000007</v>
          </cell>
          <cell r="K18">
            <v>77.492000000000004</v>
          </cell>
          <cell r="L18">
            <v>88.561000000000007</v>
          </cell>
          <cell r="M18">
            <v>99.629000000000005</v>
          </cell>
          <cell r="N18">
            <v>110.697</v>
          </cell>
        </row>
        <row r="19">
          <cell r="D19" t="str">
            <v>He</v>
          </cell>
          <cell r="E19">
            <v>4.4539999999999997</v>
          </cell>
          <cell r="F19">
            <v>8.9019999999999992</v>
          </cell>
          <cell r="G19">
            <v>13.35</v>
          </cell>
          <cell r="H19">
            <v>17.797999999999998</v>
          </cell>
          <cell r="I19">
            <v>22.245999999999999</v>
          </cell>
          <cell r="J19">
            <v>26.693000000000001</v>
          </cell>
          <cell r="K19">
            <v>31.140999999999998</v>
          </cell>
          <cell r="L19">
            <v>35.588999999999999</v>
          </cell>
          <cell r="M19">
            <v>40.036999999999999</v>
          </cell>
          <cell r="N19">
            <v>44.484999999999999</v>
          </cell>
        </row>
        <row r="20">
          <cell r="D20" t="str">
            <v>H2</v>
          </cell>
          <cell r="E20">
            <v>2.6930000000000001</v>
          </cell>
          <cell r="F20">
            <v>5.383</v>
          </cell>
          <cell r="G20">
            <v>8.0730000000000004</v>
          </cell>
          <cell r="H20">
            <v>10.762</v>
          </cell>
          <cell r="I20">
            <v>13.452</v>
          </cell>
          <cell r="J20">
            <v>16.141999999999999</v>
          </cell>
          <cell r="K20">
            <v>18.831</v>
          </cell>
          <cell r="L20">
            <v>21.521000000000001</v>
          </cell>
          <cell r="M20">
            <v>24.210999999999999</v>
          </cell>
          <cell r="N20">
            <v>26.9</v>
          </cell>
        </row>
        <row r="21">
          <cell r="D21" t="str">
            <v>N2</v>
          </cell>
          <cell r="E21">
            <v>9.9949999999999992</v>
          </cell>
          <cell r="F21">
            <v>19.977</v>
          </cell>
          <cell r="G21">
            <v>29.959</v>
          </cell>
          <cell r="H21">
            <v>39.941000000000003</v>
          </cell>
          <cell r="I21">
            <v>49.923000000000002</v>
          </cell>
          <cell r="J21">
            <v>59.905000000000001</v>
          </cell>
          <cell r="K21">
            <v>69.887</v>
          </cell>
          <cell r="L21">
            <v>79.869</v>
          </cell>
          <cell r="M21">
            <v>89.850999999999999</v>
          </cell>
          <cell r="N21">
            <v>99.832999999999998</v>
          </cell>
        </row>
        <row r="22">
          <cell r="D22" t="str">
            <v>O2</v>
          </cell>
          <cell r="E22">
            <v>10.635</v>
          </cell>
          <cell r="F22">
            <v>21.256</v>
          </cell>
          <cell r="G22">
            <v>31.876000000000001</v>
          </cell>
          <cell r="H22">
            <v>42.497</v>
          </cell>
          <cell r="I22">
            <v>53.118000000000002</v>
          </cell>
          <cell r="J22">
            <v>63.738999999999997</v>
          </cell>
          <cell r="K22">
            <v>74.358999999999995</v>
          </cell>
          <cell r="L22">
            <v>84.98</v>
          </cell>
          <cell r="M22">
            <v>95.600999999999999</v>
          </cell>
          <cell r="N22">
            <v>106.221</v>
          </cell>
        </row>
        <row r="23">
          <cell r="D23" t="str">
            <v>Butane</v>
          </cell>
          <cell r="E23">
            <v>7.9039999999999999</v>
          </cell>
          <cell r="F23">
            <v>15.797000000000001</v>
          </cell>
          <cell r="G23">
            <v>23.69</v>
          </cell>
          <cell r="H23">
            <v>31.582999999999998</v>
          </cell>
          <cell r="I23">
            <v>39.476999999999997</v>
          </cell>
          <cell r="J23">
            <v>47.37</v>
          </cell>
          <cell r="K23">
            <v>55.262999999999998</v>
          </cell>
          <cell r="L23">
            <v>63.155999999999999</v>
          </cell>
          <cell r="M23">
            <v>71.05</v>
          </cell>
          <cell r="N23">
            <v>78.942999999999998</v>
          </cell>
        </row>
        <row r="24">
          <cell r="D24" t="str">
            <v>Propane</v>
          </cell>
          <cell r="E24">
            <v>7.673</v>
          </cell>
          <cell r="F24">
            <v>15.336</v>
          </cell>
          <cell r="G24">
            <v>22.998999999999999</v>
          </cell>
          <cell r="H24">
            <v>30.661999999999999</v>
          </cell>
          <cell r="I24">
            <v>38.325000000000003</v>
          </cell>
          <cell r="J24">
            <v>45.988</v>
          </cell>
          <cell r="K24">
            <v>53.651000000000003</v>
          </cell>
          <cell r="L24">
            <v>61.314</v>
          </cell>
          <cell r="M24">
            <v>68.997</v>
          </cell>
          <cell r="N24">
            <v>76.64</v>
          </cell>
        </row>
        <row r="25">
          <cell r="D25" t="str">
            <v>GREEN LMP-103X</v>
          </cell>
          <cell r="E25">
            <v>3.1219999999999999</v>
          </cell>
          <cell r="F25">
            <v>6.2389999999999999</v>
          </cell>
          <cell r="G25">
            <v>9.3559999999999999</v>
          </cell>
          <cell r="H25">
            <v>12.474</v>
          </cell>
          <cell r="I25">
            <v>15.590999999999999</v>
          </cell>
          <cell r="J25">
            <v>18.707999999999998</v>
          </cell>
          <cell r="K25">
            <v>21.826000000000001</v>
          </cell>
          <cell r="L25">
            <v>24.943000000000001</v>
          </cell>
          <cell r="M25">
            <v>28.06</v>
          </cell>
          <cell r="N25">
            <v>31.178000000000001</v>
          </cell>
        </row>
        <row r="28">
          <cell r="D28" t="str">
            <v>C02</v>
          </cell>
          <cell r="E28">
            <v>0.313</v>
          </cell>
          <cell r="F28">
            <v>0.624</v>
          </cell>
          <cell r="G28">
            <v>0.93400000000000005</v>
          </cell>
          <cell r="H28">
            <v>1.2450000000000001</v>
          </cell>
          <cell r="I28">
            <v>1.556</v>
          </cell>
          <cell r="J28">
            <v>1.8660000000000001</v>
          </cell>
          <cell r="K28">
            <v>2.177</v>
          </cell>
          <cell r="L28">
            <v>2.4870000000000001</v>
          </cell>
          <cell r="M28">
            <v>2.798</v>
          </cell>
          <cell r="N28">
            <v>3.1080000000000001</v>
          </cell>
        </row>
        <row r="29">
          <cell r="D29" t="str">
            <v>Butane</v>
          </cell>
          <cell r="E29">
            <v>0.16900000000000001</v>
          </cell>
          <cell r="F29">
            <v>0.33700000000000002</v>
          </cell>
          <cell r="G29">
            <v>0.504</v>
          </cell>
          <cell r="H29">
            <v>0.67200000000000004</v>
          </cell>
          <cell r="I29">
            <v>0.84</v>
          </cell>
          <cell r="J29">
            <v>1.0069999999999999</v>
          </cell>
          <cell r="K29">
            <v>1.175</v>
          </cell>
          <cell r="L29">
            <v>1.343</v>
          </cell>
          <cell r="M29">
            <v>1.51</v>
          </cell>
          <cell r="N29">
            <v>1.6779999999999999</v>
          </cell>
        </row>
        <row r="30">
          <cell r="D30" t="str">
            <v>Propane</v>
          </cell>
          <cell r="E30">
            <v>0.217</v>
          </cell>
          <cell r="F30">
            <v>0.432</v>
          </cell>
          <cell r="G30">
            <v>0.64700000000000002</v>
          </cell>
          <cell r="H30">
            <v>0.86199999999999999</v>
          </cell>
          <cell r="I30">
            <v>1.077</v>
          </cell>
          <cell r="J30">
            <v>1.2929999999999999</v>
          </cell>
          <cell r="K30">
            <v>1.508</v>
          </cell>
          <cell r="L30">
            <v>1.7230000000000001</v>
          </cell>
          <cell r="M30">
            <v>1.9379999999999999</v>
          </cell>
          <cell r="N30">
            <v>2.153</v>
          </cell>
        </row>
        <row r="31">
          <cell r="D31" t="str">
            <v>GREEN LMP-103X</v>
          </cell>
          <cell r="E31">
            <v>2.0999999999999999E-3</v>
          </cell>
          <cell r="F31">
            <v>4.1000000000000003E-3</v>
          </cell>
          <cell r="G31">
            <v>6.1999999999999998E-3</v>
          </cell>
          <cell r="H31">
            <v>8.3000000000000001E-3</v>
          </cell>
          <cell r="I31">
            <v>1.03E-2</v>
          </cell>
          <cell r="J31">
            <v>1.24E-2</v>
          </cell>
          <cell r="K31">
            <v>1.44E-2</v>
          </cell>
          <cell r="L31">
            <v>1.6500000000000001E-2</v>
          </cell>
          <cell r="M31">
            <v>1.8599999999999998E-2</v>
          </cell>
          <cell r="N31">
            <v>2.06E-2</v>
          </cell>
        </row>
        <row r="33">
          <cell r="D33" t="str">
            <v>C02</v>
          </cell>
          <cell r="E33">
            <v>0.36199999999999999</v>
          </cell>
          <cell r="F33">
            <v>0.72399999999999998</v>
          </cell>
          <cell r="G33">
            <v>1.085</v>
          </cell>
          <cell r="H33">
            <v>1.4470000000000001</v>
          </cell>
          <cell r="I33">
            <v>1.8089999999999999</v>
          </cell>
          <cell r="J33">
            <v>2.17</v>
          </cell>
          <cell r="K33">
            <v>2.532</v>
          </cell>
          <cell r="L33">
            <v>2.8940000000000001</v>
          </cell>
          <cell r="M33">
            <v>3.2549999999999999</v>
          </cell>
          <cell r="N33">
            <v>3.617</v>
          </cell>
        </row>
        <row r="34">
          <cell r="D34" t="str">
            <v>Butane</v>
          </cell>
          <cell r="E34">
            <v>0.19500000000000001</v>
          </cell>
          <cell r="F34">
            <v>0.39100000000000001</v>
          </cell>
          <cell r="G34">
            <v>0.58599999999999997</v>
          </cell>
          <cell r="H34">
            <v>0.78100000000000003</v>
          </cell>
          <cell r="I34">
            <v>0.97599999999999998</v>
          </cell>
          <cell r="J34">
            <v>1.1719999999999999</v>
          </cell>
          <cell r="K34">
            <v>1.367</v>
          </cell>
          <cell r="L34">
            <v>1.5620000000000001</v>
          </cell>
          <cell r="M34">
            <v>1.7569999999999999</v>
          </cell>
          <cell r="N34">
            <v>1.9530000000000001</v>
          </cell>
        </row>
        <row r="35">
          <cell r="D35" t="str">
            <v>Propane</v>
          </cell>
          <cell r="E35">
            <v>0.251</v>
          </cell>
          <cell r="F35">
            <v>0.501</v>
          </cell>
          <cell r="G35">
            <v>0.752</v>
          </cell>
          <cell r="H35">
            <v>1.002</v>
          </cell>
          <cell r="I35">
            <v>1.2529999999999999</v>
          </cell>
          <cell r="J35">
            <v>1.5029999999999999</v>
          </cell>
          <cell r="K35">
            <v>1.754</v>
          </cell>
          <cell r="L35">
            <v>2.004</v>
          </cell>
          <cell r="M35">
            <v>2.2549999999999999</v>
          </cell>
          <cell r="N35">
            <v>2.5049999999999999</v>
          </cell>
        </row>
        <row r="36">
          <cell r="D36" t="str">
            <v>GREEN LMP-103X</v>
          </cell>
          <cell r="E36">
            <v>2.3999999999999998E-3</v>
          </cell>
          <cell r="F36">
            <v>4.7999999999999996E-3</v>
          </cell>
          <cell r="G36">
            <v>7.1999999999999998E-3</v>
          </cell>
          <cell r="H36">
            <v>9.5999999999999992E-3</v>
          </cell>
          <cell r="I36">
            <v>1.2E-2</v>
          </cell>
          <cell r="J36">
            <v>1.44E-2</v>
          </cell>
          <cell r="K36">
            <v>1.6799999999999999E-2</v>
          </cell>
          <cell r="L36">
            <v>1.9199999999999998E-2</v>
          </cell>
          <cell r="M36">
            <v>2.1600000000000001E-2</v>
          </cell>
          <cell r="N36">
            <v>2.4E-2</v>
          </cell>
        </row>
        <row r="38">
          <cell r="E38">
            <v>0.5</v>
          </cell>
          <cell r="F38">
            <v>1</v>
          </cell>
          <cell r="G38">
            <v>5</v>
          </cell>
          <cell r="H38">
            <v>10</v>
          </cell>
          <cell r="I38">
            <v>20</v>
          </cell>
          <cell r="J38">
            <v>30</v>
          </cell>
          <cell r="K38">
            <v>60</v>
          </cell>
          <cell r="L38">
            <v>90</v>
          </cell>
          <cell r="M38">
            <v>120</v>
          </cell>
          <cell r="N38">
            <v>150</v>
          </cell>
        </row>
        <row r="39">
          <cell r="D39" t="str">
            <v>C02</v>
          </cell>
          <cell r="E39">
            <v>2.3919999999999999</v>
          </cell>
          <cell r="F39">
            <v>1.952</v>
          </cell>
          <cell r="G39">
            <v>1.6</v>
          </cell>
          <cell r="H39">
            <v>1.556</v>
          </cell>
          <cell r="I39">
            <v>1.534</v>
          </cell>
          <cell r="J39">
            <v>1.526</v>
          </cell>
          <cell r="K39">
            <v>1.5189999999999999</v>
          </cell>
          <cell r="L39">
            <v>1.516</v>
          </cell>
          <cell r="M39">
            <v>1.5149999999999999</v>
          </cell>
          <cell r="N39">
            <v>1.514</v>
          </cell>
        </row>
        <row r="40">
          <cell r="D40" t="str">
            <v>Butane</v>
          </cell>
          <cell r="E40">
            <v>1.2909999999999999</v>
          </cell>
          <cell r="F40">
            <v>1.054</v>
          </cell>
          <cell r="G40">
            <v>0.86399999999999999</v>
          </cell>
          <cell r="H40">
            <v>0.84</v>
          </cell>
          <cell r="I40">
            <v>0.82799999999999996</v>
          </cell>
          <cell r="J40">
            <v>0.82399999999999995</v>
          </cell>
          <cell r="K40">
            <v>0.82</v>
          </cell>
          <cell r="L40">
            <v>0.81899999999999995</v>
          </cell>
          <cell r="M40">
            <v>0.81799999999999995</v>
          </cell>
          <cell r="N40">
            <v>0.81799999999999995</v>
          </cell>
        </row>
        <row r="41">
          <cell r="D41" t="str">
            <v>Propane</v>
          </cell>
          <cell r="E41">
            <v>1.657</v>
          </cell>
          <cell r="F41">
            <v>1.3520000000000001</v>
          </cell>
          <cell r="G41">
            <v>1.1080000000000001</v>
          </cell>
          <cell r="H41">
            <v>1.077</v>
          </cell>
          <cell r="I41">
            <v>1.0620000000000001</v>
          </cell>
          <cell r="J41">
            <v>1.0569999999999999</v>
          </cell>
          <cell r="K41">
            <v>1.052</v>
          </cell>
          <cell r="L41">
            <v>1.05</v>
          </cell>
          <cell r="M41">
            <v>1.05</v>
          </cell>
          <cell r="N41">
            <v>1.0489999999999999</v>
          </cell>
        </row>
        <row r="42">
          <cell r="D42" t="str">
            <v>GREEN LMP-103X</v>
          </cell>
          <cell r="E42">
            <v>1.5900000000000001E-2</v>
          </cell>
          <cell r="F42">
            <v>1.29E-2</v>
          </cell>
          <cell r="G42">
            <v>1.06E-2</v>
          </cell>
          <cell r="H42">
            <v>1.03E-2</v>
          </cell>
          <cell r="I42">
            <v>1.0200000000000001E-2</v>
          </cell>
          <cell r="J42">
            <v>1.01E-2</v>
          </cell>
          <cell r="K42">
            <v>1.01E-2</v>
          </cell>
          <cell r="L42">
            <v>1.01E-2</v>
          </cell>
          <cell r="M42">
            <v>0.01</v>
          </cell>
          <cell r="N42">
            <v>0.01</v>
          </cell>
        </row>
        <row r="44">
          <cell r="D44" t="str">
            <v>C02</v>
          </cell>
          <cell r="E44">
            <v>14.944000000000001</v>
          </cell>
          <cell r="F44">
            <v>8.0310000000000006</v>
          </cell>
          <cell r="G44">
            <v>2.5</v>
          </cell>
          <cell r="H44">
            <v>1.8089999999999999</v>
          </cell>
          <cell r="I44">
            <v>1.4630000000000001</v>
          </cell>
          <cell r="J44">
            <v>1.3480000000000001</v>
          </cell>
          <cell r="K44">
            <v>1.2330000000000001</v>
          </cell>
          <cell r="L44">
            <v>1.194</v>
          </cell>
          <cell r="M44">
            <v>1.175</v>
          </cell>
          <cell r="N44">
            <v>1.163</v>
          </cell>
        </row>
        <row r="45">
          <cell r="D45" t="str">
            <v>Butane</v>
          </cell>
          <cell r="E45">
            <v>8.0679999999999996</v>
          </cell>
          <cell r="F45">
            <v>4.3360000000000003</v>
          </cell>
          <cell r="G45">
            <v>1.35</v>
          </cell>
          <cell r="H45">
            <v>0.97599999999999998</v>
          </cell>
          <cell r="I45">
            <v>0.79</v>
          </cell>
          <cell r="J45">
            <v>0.72799999999999998</v>
          </cell>
          <cell r="K45">
            <v>0.66500000000000004</v>
          </cell>
          <cell r="L45">
            <v>0.64500000000000002</v>
          </cell>
          <cell r="M45">
            <v>0.63400000000000001</v>
          </cell>
          <cell r="N45">
            <v>0.628</v>
          </cell>
        </row>
        <row r="46">
          <cell r="D46" t="str">
            <v>Propane</v>
          </cell>
          <cell r="E46">
            <v>10.352</v>
          </cell>
          <cell r="F46">
            <v>5.5629999999999997</v>
          </cell>
          <cell r="G46">
            <v>1.732</v>
          </cell>
          <cell r="H46">
            <v>1.2529999999999999</v>
          </cell>
          <cell r="I46">
            <v>1.0129999999999999</v>
          </cell>
          <cell r="J46">
            <v>0.93400000000000005</v>
          </cell>
          <cell r="K46">
            <v>0.85399999999999998</v>
          </cell>
          <cell r="L46">
            <v>0.82699999999999996</v>
          </cell>
          <cell r="M46">
            <v>0.81399999999999995</v>
          </cell>
          <cell r="N46">
            <v>0.80600000000000005</v>
          </cell>
        </row>
        <row r="47">
          <cell r="D47" t="str">
            <v>GREEN LMP-103X</v>
          </cell>
          <cell r="E47">
            <v>9.9099999999999994E-2</v>
          </cell>
          <cell r="F47">
            <v>5.33E-2</v>
          </cell>
          <cell r="G47">
            <v>1.66E-2</v>
          </cell>
          <cell r="H47">
            <v>1.2E-2</v>
          </cell>
          <cell r="I47">
            <v>9.7000000000000003E-3</v>
          </cell>
          <cell r="J47">
            <v>8.8999999999999999E-3</v>
          </cell>
          <cell r="K47">
            <v>8.2000000000000007E-3</v>
          </cell>
          <cell r="L47">
            <v>7.9000000000000008E-3</v>
          </cell>
          <cell r="M47">
            <v>7.7999999999999996E-3</v>
          </cell>
          <cell r="N47">
            <v>7.7000000000000002E-3</v>
          </cell>
        </row>
        <row r="49">
          <cell r="E49">
            <v>500</v>
          </cell>
          <cell r="F49">
            <v>1000</v>
          </cell>
          <cell r="G49">
            <v>2000</v>
          </cell>
          <cell r="H49">
            <v>3000</v>
          </cell>
          <cell r="I49">
            <v>4000</v>
          </cell>
          <cell r="J49">
            <v>5000</v>
          </cell>
          <cell r="K49">
            <v>7000</v>
          </cell>
          <cell r="L49">
            <v>9000</v>
          </cell>
          <cell r="M49">
            <v>11000</v>
          </cell>
          <cell r="N49">
            <v>13000</v>
          </cell>
        </row>
        <row r="50">
          <cell r="D50" t="str">
            <v>C02</v>
          </cell>
          <cell r="E50">
            <v>0.15</v>
          </cell>
          <cell r="F50">
            <v>0.253</v>
          </cell>
          <cell r="G50">
            <v>0.46</v>
          </cell>
          <cell r="H50">
            <v>0.66700000000000004</v>
          </cell>
          <cell r="I50">
            <v>0.873</v>
          </cell>
          <cell r="J50">
            <v>1.08</v>
          </cell>
          <cell r="K50">
            <v>1.494</v>
          </cell>
          <cell r="L50">
            <v>1.907</v>
          </cell>
          <cell r="M50">
            <v>2.3199999999999998</v>
          </cell>
          <cell r="N50">
            <v>2.734</v>
          </cell>
        </row>
        <row r="51">
          <cell r="D51" t="str">
            <v>Butane</v>
          </cell>
          <cell r="E51">
            <v>8.1000000000000003E-2</v>
          </cell>
          <cell r="F51">
            <v>0.13700000000000001</v>
          </cell>
          <cell r="G51">
            <v>0.248</v>
          </cell>
          <cell r="H51">
            <v>0.36</v>
          </cell>
          <cell r="I51">
            <v>0.47199999999999998</v>
          </cell>
          <cell r="J51">
            <v>0.58299999999999996</v>
          </cell>
          <cell r="K51">
            <v>0.80600000000000005</v>
          </cell>
          <cell r="L51">
            <v>1.0289999999999999</v>
          </cell>
          <cell r="M51">
            <v>1.2529999999999999</v>
          </cell>
          <cell r="N51">
            <v>1.476</v>
          </cell>
        </row>
        <row r="52">
          <cell r="D52" t="str">
            <v>Propane</v>
          </cell>
          <cell r="E52">
            <v>0.104</v>
          </cell>
          <cell r="F52">
            <v>0.17599999999999999</v>
          </cell>
          <cell r="G52">
            <v>0.31900000000000001</v>
          </cell>
          <cell r="H52">
            <v>0.46200000000000002</v>
          </cell>
          <cell r="I52">
            <v>0.60499999999999998</v>
          </cell>
          <cell r="J52">
            <v>0.748</v>
          </cell>
          <cell r="K52">
            <v>1.0349999999999999</v>
          </cell>
          <cell r="L52">
            <v>1.321</v>
          </cell>
          <cell r="M52">
            <v>1.607</v>
          </cell>
          <cell r="N52">
            <v>1.8939999999999999</v>
          </cell>
        </row>
        <row r="53">
          <cell r="D53" t="str">
            <v>GREEN LMP-103X</v>
          </cell>
          <cell r="E53">
            <v>1E-3</v>
          </cell>
          <cell r="F53">
            <v>1.6999999999999999E-3</v>
          </cell>
          <cell r="G53">
            <v>3.0999999999999999E-3</v>
          </cell>
          <cell r="H53">
            <v>4.4000000000000003E-3</v>
          </cell>
          <cell r="I53">
            <v>5.7999999999999996E-3</v>
          </cell>
          <cell r="J53">
            <v>7.1999999999999998E-3</v>
          </cell>
          <cell r="K53">
            <v>9.9000000000000008E-3</v>
          </cell>
          <cell r="L53">
            <v>1.26E-2</v>
          </cell>
          <cell r="M53">
            <v>1.54E-2</v>
          </cell>
          <cell r="N53">
            <v>1.8100000000000002E-2</v>
          </cell>
        </row>
        <row r="55">
          <cell r="D55" t="str">
            <v>C02</v>
          </cell>
          <cell r="E55">
            <v>0.76800000000000002</v>
          </cell>
          <cell r="F55">
            <v>0.84499999999999997</v>
          </cell>
          <cell r="G55">
            <v>0.998</v>
          </cell>
          <cell r="H55">
            <v>1.151</v>
          </cell>
          <cell r="I55">
            <v>1.304</v>
          </cell>
          <cell r="J55">
            <v>1.4570000000000001</v>
          </cell>
          <cell r="K55">
            <v>1.7629999999999999</v>
          </cell>
          <cell r="L55">
            <v>2.069</v>
          </cell>
          <cell r="M55">
            <v>2.375</v>
          </cell>
          <cell r="N55">
            <v>2.681</v>
          </cell>
        </row>
        <row r="56">
          <cell r="D56" t="str">
            <v>Butane</v>
          </cell>
          <cell r="E56">
            <v>0.41499999999999998</v>
          </cell>
          <cell r="F56">
            <v>0.45600000000000002</v>
          </cell>
          <cell r="G56">
            <v>0.53900000000000003</v>
          </cell>
          <cell r="H56">
            <v>0.621</v>
          </cell>
          <cell r="I56">
            <v>0.70399999999999996</v>
          </cell>
          <cell r="J56">
            <v>0.78600000000000003</v>
          </cell>
          <cell r="K56">
            <v>0.95199999999999996</v>
          </cell>
          <cell r="L56">
            <v>1.117</v>
          </cell>
          <cell r="M56">
            <v>1.282</v>
          </cell>
          <cell r="N56">
            <v>1.4470000000000001</v>
          </cell>
        </row>
        <row r="57">
          <cell r="D57" t="str">
            <v>Propane</v>
          </cell>
          <cell r="E57">
            <v>0.53200000000000003</v>
          </cell>
          <cell r="F57">
            <v>0.58499999999999996</v>
          </cell>
          <cell r="G57">
            <v>0.69099999999999995</v>
          </cell>
          <cell r="H57">
            <v>0.79700000000000004</v>
          </cell>
          <cell r="I57">
            <v>0.90300000000000002</v>
          </cell>
          <cell r="J57">
            <v>1.0089999999999999</v>
          </cell>
          <cell r="K57">
            <v>1.2210000000000001</v>
          </cell>
          <cell r="L57">
            <v>1.4330000000000001</v>
          </cell>
          <cell r="M57">
            <v>1.645</v>
          </cell>
          <cell r="N57">
            <v>1.857</v>
          </cell>
        </row>
        <row r="58">
          <cell r="D58" t="str">
            <v>GREEN LMP-103X</v>
          </cell>
          <cell r="E58">
            <v>5.1000000000000004E-3</v>
          </cell>
          <cell r="F58">
            <v>5.5999999999999999E-3</v>
          </cell>
          <cell r="G58">
            <v>6.6E-3</v>
          </cell>
          <cell r="H58">
            <v>7.6E-3</v>
          </cell>
          <cell r="I58">
            <v>8.6E-3</v>
          </cell>
          <cell r="J58">
            <v>9.7000000000000003E-3</v>
          </cell>
          <cell r="K58">
            <v>1.17E-2</v>
          </cell>
          <cell r="L58">
            <v>1.37E-2</v>
          </cell>
          <cell r="M58">
            <v>1.5699999999999999E-2</v>
          </cell>
          <cell r="N58">
            <v>1.78E-2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0"/>
  <sheetViews>
    <sheetView topLeftCell="A25" workbookViewId="0">
      <selection activeCell="A33" sqref="A33:I41"/>
    </sheetView>
  </sheetViews>
  <sheetFormatPr defaultRowHeight="15" x14ac:dyDescent="0.25"/>
  <cols>
    <col min="1" max="1" width="28.28515625" customWidth="1"/>
    <col min="2" max="2" width="65.28515625" bestFit="1" customWidth="1"/>
    <col min="3" max="3" width="34.28515625" customWidth="1"/>
    <col min="4" max="4" width="18.28515625" customWidth="1"/>
    <col min="5" max="5" width="15" customWidth="1"/>
    <col min="6" max="6" width="15" style="35" customWidth="1"/>
    <col min="7" max="7" width="11.5703125" customWidth="1"/>
    <col min="8" max="8" width="14.5703125" customWidth="1"/>
    <col min="9" max="9" width="11.7109375" customWidth="1"/>
  </cols>
  <sheetData>
    <row r="1" spans="1:7" s="35" customFormat="1" ht="24" thickBot="1" x14ac:dyDescent="0.4">
      <c r="A1" s="115" t="s">
        <v>463</v>
      </c>
    </row>
    <row r="2" spans="1:7" s="35" customFormat="1" ht="23.25" x14ac:dyDescent="0.35">
      <c r="A2" s="170"/>
    </row>
    <row r="3" spans="1:7" s="35" customFormat="1" ht="15.75" thickBot="1" x14ac:dyDescent="0.3"/>
    <row r="4" spans="1:7" s="35" customFormat="1" ht="42" x14ac:dyDescent="0.35">
      <c r="A4" s="259" t="s">
        <v>464</v>
      </c>
      <c r="B4" s="189" t="s">
        <v>445</v>
      </c>
      <c r="C4" s="230" t="s">
        <v>468</v>
      </c>
      <c r="D4" s="189" t="s">
        <v>446</v>
      </c>
      <c r="E4" s="189" t="s">
        <v>447</v>
      </c>
      <c r="F4" s="189" t="s">
        <v>400</v>
      </c>
      <c r="G4" s="252" t="s">
        <v>454</v>
      </c>
    </row>
    <row r="5" spans="1:7" s="36" customFormat="1" x14ac:dyDescent="0.25">
      <c r="A5" s="196"/>
      <c r="B5" s="43" t="s">
        <v>448</v>
      </c>
      <c r="C5" s="15">
        <v>30</v>
      </c>
      <c r="D5" s="15">
        <v>40</v>
      </c>
      <c r="E5" s="15">
        <v>20</v>
      </c>
      <c r="F5" s="15">
        <v>10</v>
      </c>
      <c r="G5" s="253">
        <f>F5+E5+D5+C5</f>
        <v>100</v>
      </c>
    </row>
    <row r="6" spans="1:7" s="36" customFormat="1" ht="45" x14ac:dyDescent="0.25">
      <c r="A6" s="196"/>
      <c r="B6" s="43" t="s">
        <v>449</v>
      </c>
      <c r="C6" s="43" t="s">
        <v>450</v>
      </c>
      <c r="D6" s="43" t="s">
        <v>451</v>
      </c>
      <c r="E6" s="43" t="s">
        <v>452</v>
      </c>
      <c r="F6" s="43" t="s">
        <v>462</v>
      </c>
      <c r="G6" s="254"/>
    </row>
    <row r="7" spans="1:7" s="36" customFormat="1" x14ac:dyDescent="0.25">
      <c r="A7" s="196" t="s">
        <v>455</v>
      </c>
      <c r="B7" s="15"/>
      <c r="C7" s="15">
        <v>3</v>
      </c>
      <c r="D7" s="15">
        <v>3</v>
      </c>
      <c r="E7" s="15">
        <v>3</v>
      </c>
      <c r="F7" s="15">
        <v>3</v>
      </c>
      <c r="G7" s="254">
        <f>E7*E5+D7*D5+C7*C5+F7*F5</f>
        <v>300</v>
      </c>
    </row>
    <row r="8" spans="1:7" x14ac:dyDescent="0.25">
      <c r="A8" s="196" t="s">
        <v>453</v>
      </c>
      <c r="B8" s="6"/>
      <c r="C8" s="6"/>
      <c r="D8" s="6"/>
      <c r="E8" s="6"/>
      <c r="F8" s="6"/>
      <c r="G8" s="255"/>
    </row>
    <row r="9" spans="1:7" x14ac:dyDescent="0.25">
      <c r="A9" s="168" t="s">
        <v>73</v>
      </c>
      <c r="B9" s="7" t="s">
        <v>161</v>
      </c>
      <c r="C9" s="6">
        <v>2</v>
      </c>
      <c r="D9" s="6">
        <v>3</v>
      </c>
      <c r="E9" s="6">
        <v>3</v>
      </c>
      <c r="F9" s="6">
        <v>1</v>
      </c>
      <c r="G9" s="258">
        <f t="shared" ref="G9:G17" si="0">(F9*$F$5+E9*$E$5+D9*$D$5+C9*$C$5)/$G$7</f>
        <v>0.83333333333333337</v>
      </c>
    </row>
    <row r="10" spans="1:7" ht="30" x14ac:dyDescent="0.25">
      <c r="A10" s="168" t="s">
        <v>19</v>
      </c>
      <c r="B10" s="7" t="s">
        <v>389</v>
      </c>
      <c r="C10" s="6">
        <v>2</v>
      </c>
      <c r="D10" s="6">
        <v>2</v>
      </c>
      <c r="E10" s="6">
        <v>2</v>
      </c>
      <c r="F10" s="15">
        <v>3</v>
      </c>
      <c r="G10" s="258">
        <f t="shared" si="0"/>
        <v>0.7</v>
      </c>
    </row>
    <row r="11" spans="1:7" ht="30" x14ac:dyDescent="0.25">
      <c r="A11" s="168" t="s">
        <v>20</v>
      </c>
      <c r="B11" s="7" t="s">
        <v>444</v>
      </c>
      <c r="C11" s="6">
        <v>1</v>
      </c>
      <c r="D11" s="6">
        <v>2</v>
      </c>
      <c r="E11" s="6">
        <v>1</v>
      </c>
      <c r="F11" s="15">
        <v>2</v>
      </c>
      <c r="G11" s="256">
        <f t="shared" si="0"/>
        <v>0.5</v>
      </c>
    </row>
    <row r="12" spans="1:7" x14ac:dyDescent="0.25">
      <c r="A12" s="196"/>
      <c r="B12" s="7" t="s">
        <v>461</v>
      </c>
      <c r="C12" s="6">
        <v>1</v>
      </c>
      <c r="D12" s="6">
        <v>2</v>
      </c>
      <c r="E12" s="6">
        <v>1</v>
      </c>
      <c r="F12" s="15">
        <v>2</v>
      </c>
      <c r="G12" s="256">
        <f t="shared" si="0"/>
        <v>0.5</v>
      </c>
    </row>
    <row r="13" spans="1:7" x14ac:dyDescent="0.25">
      <c r="A13" s="196"/>
      <c r="B13" s="7" t="s">
        <v>456</v>
      </c>
      <c r="C13" s="6">
        <v>1</v>
      </c>
      <c r="D13" s="6">
        <v>2</v>
      </c>
      <c r="E13" s="6">
        <v>1</v>
      </c>
      <c r="F13" s="15">
        <v>2</v>
      </c>
      <c r="G13" s="256">
        <f t="shared" si="0"/>
        <v>0.5</v>
      </c>
    </row>
    <row r="14" spans="1:7" x14ac:dyDescent="0.25">
      <c r="A14" s="196"/>
      <c r="B14" s="7" t="s">
        <v>457</v>
      </c>
      <c r="C14" s="6">
        <v>3</v>
      </c>
      <c r="D14" s="6">
        <v>2</v>
      </c>
      <c r="E14" s="6">
        <v>1</v>
      </c>
      <c r="F14" s="15">
        <v>2</v>
      </c>
      <c r="G14" s="258">
        <f t="shared" si="0"/>
        <v>0.7</v>
      </c>
    </row>
    <row r="15" spans="1:7" x14ac:dyDescent="0.25">
      <c r="A15" s="196"/>
      <c r="B15" s="7" t="s">
        <v>458</v>
      </c>
      <c r="C15" s="6">
        <v>1</v>
      </c>
      <c r="D15" s="6">
        <v>1</v>
      </c>
      <c r="E15" s="6">
        <v>1</v>
      </c>
      <c r="F15" s="15">
        <v>2</v>
      </c>
      <c r="G15" s="256">
        <f t="shared" si="0"/>
        <v>0.36666666666666664</v>
      </c>
    </row>
    <row r="16" spans="1:7" x14ac:dyDescent="0.25">
      <c r="A16" s="196"/>
      <c r="B16" s="7" t="s">
        <v>459</v>
      </c>
      <c r="C16" s="6">
        <v>3</v>
      </c>
      <c r="D16" s="6">
        <v>3</v>
      </c>
      <c r="E16" s="6">
        <v>1</v>
      </c>
      <c r="F16" s="15">
        <v>2</v>
      </c>
      <c r="G16" s="258">
        <f t="shared" si="0"/>
        <v>0.83333333333333337</v>
      </c>
    </row>
    <row r="17" spans="1:7" ht="15.75" thickBot="1" x14ac:dyDescent="0.3">
      <c r="A17" s="260"/>
      <c r="B17" s="261" t="s">
        <v>460</v>
      </c>
      <c r="C17" s="94">
        <v>2</v>
      </c>
      <c r="D17" s="94">
        <v>1</v>
      </c>
      <c r="E17" s="94">
        <v>1</v>
      </c>
      <c r="F17" s="262">
        <v>2</v>
      </c>
      <c r="G17" s="263">
        <f t="shared" si="0"/>
        <v>0.46666666666666667</v>
      </c>
    </row>
    <row r="18" spans="1:7" s="35" customFormat="1" ht="42" x14ac:dyDescent="0.35">
      <c r="A18" s="251" t="s">
        <v>464</v>
      </c>
      <c r="B18" s="189" t="s">
        <v>445</v>
      </c>
      <c r="C18" s="230" t="s">
        <v>468</v>
      </c>
      <c r="D18" s="189" t="s">
        <v>446</v>
      </c>
      <c r="E18" s="189" t="s">
        <v>447</v>
      </c>
      <c r="F18" s="189" t="s">
        <v>400</v>
      </c>
      <c r="G18" s="252" t="s">
        <v>454</v>
      </c>
    </row>
    <row r="19" spans="1:7" s="35" customFormat="1" x14ac:dyDescent="0.25">
      <c r="A19" s="196"/>
      <c r="B19" s="43" t="s">
        <v>448</v>
      </c>
      <c r="C19" s="15">
        <v>30</v>
      </c>
      <c r="D19" s="15">
        <v>40</v>
      </c>
      <c r="E19" s="15">
        <v>20</v>
      </c>
      <c r="F19" s="15">
        <v>10</v>
      </c>
      <c r="G19" s="253">
        <f>F19+E19+D19+C19</f>
        <v>100</v>
      </c>
    </row>
    <row r="20" spans="1:7" s="35" customFormat="1" ht="45" x14ac:dyDescent="0.25">
      <c r="A20" s="196"/>
      <c r="B20" s="43" t="s">
        <v>449</v>
      </c>
      <c r="C20" s="43" t="s">
        <v>450</v>
      </c>
      <c r="D20" s="43" t="s">
        <v>451</v>
      </c>
      <c r="E20" s="43" t="s">
        <v>452</v>
      </c>
      <c r="F20" s="43" t="s">
        <v>462</v>
      </c>
      <c r="G20" s="254"/>
    </row>
    <row r="21" spans="1:7" s="35" customFormat="1" x14ac:dyDescent="0.25">
      <c r="A21" s="196" t="s">
        <v>455</v>
      </c>
      <c r="B21" s="15"/>
      <c r="C21" s="15">
        <v>3</v>
      </c>
      <c r="D21" s="15">
        <v>3</v>
      </c>
      <c r="E21" s="15">
        <v>3</v>
      </c>
      <c r="F21" s="15">
        <v>3</v>
      </c>
      <c r="G21" s="254">
        <f>E21*E19+D21*D19+C21*C19+F21*F19</f>
        <v>300</v>
      </c>
    </row>
    <row r="22" spans="1:7" x14ac:dyDescent="0.25">
      <c r="A22" s="196" t="s">
        <v>453</v>
      </c>
      <c r="B22" s="6"/>
      <c r="C22" s="6"/>
      <c r="D22" s="6"/>
      <c r="E22" s="6"/>
      <c r="F22" s="6"/>
      <c r="G22" s="255"/>
    </row>
    <row r="23" spans="1:7" ht="30" x14ac:dyDescent="0.25">
      <c r="A23" s="168" t="s">
        <v>300</v>
      </c>
      <c r="B23" s="7" t="s">
        <v>389</v>
      </c>
      <c r="C23" s="6">
        <v>1</v>
      </c>
      <c r="D23" s="6">
        <v>2</v>
      </c>
      <c r="E23" s="6">
        <v>2</v>
      </c>
      <c r="F23" s="15">
        <v>3</v>
      </c>
      <c r="G23" s="256">
        <f t="shared" ref="G23:G30" si="1">(F23*$F$5+E23*$E$5+D23*$D$5+C23*$C$5)/$G$7</f>
        <v>0.6</v>
      </c>
    </row>
    <row r="24" spans="1:7" ht="30" x14ac:dyDescent="0.25">
      <c r="A24" s="168" t="s">
        <v>301</v>
      </c>
      <c r="B24" s="7" t="s">
        <v>444</v>
      </c>
      <c r="C24" s="6">
        <v>1</v>
      </c>
      <c r="D24" s="6">
        <v>2</v>
      </c>
      <c r="E24" s="6">
        <v>1</v>
      </c>
      <c r="F24" s="15">
        <v>2</v>
      </c>
      <c r="G24" s="256">
        <f t="shared" si="1"/>
        <v>0.5</v>
      </c>
    </row>
    <row r="25" spans="1:7" x14ac:dyDescent="0.25">
      <c r="A25" s="196"/>
      <c r="B25" s="7" t="s">
        <v>461</v>
      </c>
      <c r="C25" s="6">
        <v>3</v>
      </c>
      <c r="D25" s="6">
        <v>2</v>
      </c>
      <c r="E25" s="6">
        <v>1</v>
      </c>
      <c r="F25" s="15">
        <v>2</v>
      </c>
      <c r="G25" s="258">
        <f t="shared" si="1"/>
        <v>0.7</v>
      </c>
    </row>
    <row r="26" spans="1:7" x14ac:dyDescent="0.25">
      <c r="A26" s="196"/>
      <c r="B26" s="7" t="s">
        <v>456</v>
      </c>
      <c r="C26" s="6">
        <v>2</v>
      </c>
      <c r="D26" s="6">
        <v>2</v>
      </c>
      <c r="E26" s="6">
        <v>1</v>
      </c>
      <c r="F26" s="15">
        <v>2</v>
      </c>
      <c r="G26" s="256">
        <f t="shared" si="1"/>
        <v>0.6</v>
      </c>
    </row>
    <row r="27" spans="1:7" x14ac:dyDescent="0.25">
      <c r="A27" s="196"/>
      <c r="B27" s="7" t="s">
        <v>457</v>
      </c>
      <c r="C27" s="6">
        <v>3</v>
      </c>
      <c r="D27" s="6">
        <v>2</v>
      </c>
      <c r="E27" s="6">
        <v>1</v>
      </c>
      <c r="F27" s="15">
        <v>2</v>
      </c>
      <c r="G27" s="258">
        <f t="shared" si="1"/>
        <v>0.7</v>
      </c>
    </row>
    <row r="28" spans="1:7" x14ac:dyDescent="0.25">
      <c r="A28" s="196"/>
      <c r="B28" s="7" t="s">
        <v>458</v>
      </c>
      <c r="C28" s="6">
        <v>2</v>
      </c>
      <c r="D28" s="6">
        <v>2</v>
      </c>
      <c r="E28" s="6">
        <v>1</v>
      </c>
      <c r="F28" s="15">
        <v>2</v>
      </c>
      <c r="G28" s="256">
        <f t="shared" si="1"/>
        <v>0.6</v>
      </c>
    </row>
    <row r="29" spans="1:7" x14ac:dyDescent="0.25">
      <c r="A29" s="196"/>
      <c r="B29" s="7" t="s">
        <v>459</v>
      </c>
      <c r="C29" s="6">
        <v>3</v>
      </c>
      <c r="D29" s="6">
        <v>3</v>
      </c>
      <c r="E29" s="6">
        <v>1</v>
      </c>
      <c r="F29" s="15">
        <v>2</v>
      </c>
      <c r="G29" s="258">
        <f t="shared" si="1"/>
        <v>0.83333333333333337</v>
      </c>
    </row>
    <row r="30" spans="1:7" ht="15.75" thickBot="1" x14ac:dyDescent="0.3">
      <c r="A30" s="197"/>
      <c r="B30" s="132" t="s">
        <v>488</v>
      </c>
      <c r="C30" s="59">
        <v>3</v>
      </c>
      <c r="D30" s="59">
        <v>1</v>
      </c>
      <c r="E30" s="59">
        <v>1</v>
      </c>
      <c r="F30" s="156">
        <v>2</v>
      </c>
      <c r="G30" s="257">
        <f t="shared" si="1"/>
        <v>0.56666666666666665</v>
      </c>
    </row>
    <row r="32" spans="1:7" ht="15.75" thickBot="1" x14ac:dyDescent="0.3"/>
    <row r="33" spans="1:9" ht="46.5" x14ac:dyDescent="0.35">
      <c r="A33" s="251" t="s">
        <v>465</v>
      </c>
      <c r="B33" s="189" t="s">
        <v>445</v>
      </c>
      <c r="C33" s="230" t="s">
        <v>469</v>
      </c>
      <c r="D33" s="189" t="s">
        <v>446</v>
      </c>
      <c r="E33" s="189" t="s">
        <v>447</v>
      </c>
      <c r="F33" s="189" t="s">
        <v>400</v>
      </c>
      <c r="G33" s="189" t="s">
        <v>466</v>
      </c>
      <c r="H33" s="230" t="s">
        <v>467</v>
      </c>
      <c r="I33" s="252" t="s">
        <v>454</v>
      </c>
    </row>
    <row r="34" spans="1:9" x14ac:dyDescent="0.25">
      <c r="A34" s="196"/>
      <c r="B34" s="43" t="s">
        <v>448</v>
      </c>
      <c r="C34" s="15">
        <v>20</v>
      </c>
      <c r="D34" s="15">
        <v>25</v>
      </c>
      <c r="E34" s="15">
        <v>15</v>
      </c>
      <c r="F34" s="15">
        <v>10</v>
      </c>
      <c r="G34" s="15">
        <v>15</v>
      </c>
      <c r="H34" s="15">
        <v>15</v>
      </c>
      <c r="I34" s="264">
        <f>H34+G34+F34+E34+D34+C34</f>
        <v>100</v>
      </c>
    </row>
    <row r="35" spans="1:9" ht="60" x14ac:dyDescent="0.25">
      <c r="A35" s="196"/>
      <c r="B35" s="43" t="s">
        <v>449</v>
      </c>
      <c r="C35" s="43" t="s">
        <v>472</v>
      </c>
      <c r="D35" s="43" t="s">
        <v>451</v>
      </c>
      <c r="E35" s="43" t="s">
        <v>452</v>
      </c>
      <c r="F35" s="43" t="s">
        <v>462</v>
      </c>
      <c r="G35" s="43" t="s">
        <v>470</v>
      </c>
      <c r="H35" s="43" t="s">
        <v>471</v>
      </c>
      <c r="I35" s="254"/>
    </row>
    <row r="36" spans="1:9" x14ac:dyDescent="0.25">
      <c r="A36" s="196" t="s">
        <v>455</v>
      </c>
      <c r="B36" s="15"/>
      <c r="C36" s="15">
        <v>3</v>
      </c>
      <c r="D36" s="15">
        <v>3</v>
      </c>
      <c r="E36" s="15">
        <v>3</v>
      </c>
      <c r="F36" s="15">
        <v>3</v>
      </c>
      <c r="G36" s="15">
        <v>3</v>
      </c>
      <c r="H36" s="15">
        <v>3</v>
      </c>
      <c r="I36" s="254">
        <f>H36*H34+G36*G34+F36*F34+E36*E34+D36*D34+C36*C34</f>
        <v>300</v>
      </c>
    </row>
    <row r="37" spans="1:9" x14ac:dyDescent="0.25">
      <c r="A37" s="196" t="s">
        <v>453</v>
      </c>
      <c r="B37" s="6"/>
      <c r="C37" s="6"/>
      <c r="D37" s="6"/>
      <c r="E37" s="6"/>
      <c r="F37" s="6"/>
      <c r="G37" s="6"/>
      <c r="H37" s="6"/>
      <c r="I37" s="255"/>
    </row>
    <row r="38" spans="1:9" x14ac:dyDescent="0.25">
      <c r="A38" s="168" t="s">
        <v>73</v>
      </c>
      <c r="B38" s="7" t="s">
        <v>161</v>
      </c>
      <c r="C38" s="6">
        <v>3</v>
      </c>
      <c r="D38" s="6">
        <v>3</v>
      </c>
      <c r="E38" s="6">
        <v>3</v>
      </c>
      <c r="F38" s="6">
        <v>1</v>
      </c>
      <c r="G38" s="6">
        <v>1</v>
      </c>
      <c r="H38" s="6">
        <v>3</v>
      </c>
      <c r="I38" s="258">
        <f>(H38*$H$34+G38*$G$34+F38*$F$34+E38*$E$34+D38*$D$34+C38*$C$34)/$I$36</f>
        <v>0.83333333333333337</v>
      </c>
    </row>
    <row r="39" spans="1:9" ht="30" x14ac:dyDescent="0.25">
      <c r="A39" s="168" t="s">
        <v>19</v>
      </c>
      <c r="B39" s="7" t="s">
        <v>389</v>
      </c>
      <c r="C39" s="6">
        <v>2</v>
      </c>
      <c r="D39" s="6">
        <v>2</v>
      </c>
      <c r="E39" s="6">
        <v>2</v>
      </c>
      <c r="F39" s="15">
        <v>3</v>
      </c>
      <c r="G39" s="6">
        <v>1</v>
      </c>
      <c r="H39" s="6">
        <v>2</v>
      </c>
      <c r="I39" s="258">
        <f t="shared" ref="I39:I50" si="2">(H39*$H$34+G39*$G$34+F39*$F$34+E39*$E$34+D39*$D$34+C39*$C$34)/$I$36</f>
        <v>0.65</v>
      </c>
    </row>
    <row r="40" spans="1:9" ht="30" x14ac:dyDescent="0.25">
      <c r="A40" s="168" t="s">
        <v>20</v>
      </c>
      <c r="B40" s="7" t="s">
        <v>457</v>
      </c>
      <c r="C40" s="6">
        <v>2</v>
      </c>
      <c r="D40" s="6">
        <v>2</v>
      </c>
      <c r="E40" s="6">
        <v>1</v>
      </c>
      <c r="F40" s="15">
        <v>2</v>
      </c>
      <c r="G40" s="6">
        <v>2</v>
      </c>
      <c r="H40" s="6">
        <v>1</v>
      </c>
      <c r="I40" s="256">
        <f t="shared" si="2"/>
        <v>0.56666666666666665</v>
      </c>
    </row>
    <row r="41" spans="1:9" ht="15.75" thickBot="1" x14ac:dyDescent="0.3">
      <c r="A41" s="197"/>
      <c r="B41" s="132" t="s">
        <v>459</v>
      </c>
      <c r="C41" s="59">
        <v>1</v>
      </c>
      <c r="D41" s="59">
        <v>2</v>
      </c>
      <c r="E41" s="59">
        <v>1</v>
      </c>
      <c r="F41" s="156">
        <v>2</v>
      </c>
      <c r="G41" s="59">
        <v>3</v>
      </c>
      <c r="H41" s="59">
        <v>2</v>
      </c>
      <c r="I41" s="257">
        <f t="shared" si="2"/>
        <v>0.6</v>
      </c>
    </row>
    <row r="42" spans="1:9" ht="46.5" x14ac:dyDescent="0.35">
      <c r="A42" s="259" t="s">
        <v>465</v>
      </c>
      <c r="B42" s="189" t="s">
        <v>445</v>
      </c>
      <c r="C42" s="230" t="s">
        <v>469</v>
      </c>
      <c r="D42" s="189" t="s">
        <v>446</v>
      </c>
      <c r="E42" s="189" t="s">
        <v>447</v>
      </c>
      <c r="F42" s="189" t="s">
        <v>400</v>
      </c>
      <c r="G42" s="189" t="s">
        <v>466</v>
      </c>
      <c r="H42" s="230" t="s">
        <v>467</v>
      </c>
      <c r="I42" s="252" t="s">
        <v>454</v>
      </c>
    </row>
    <row r="43" spans="1:9" s="35" customFormat="1" x14ac:dyDescent="0.25">
      <c r="A43" s="196"/>
      <c r="B43" s="43" t="s">
        <v>448</v>
      </c>
      <c r="C43" s="15">
        <v>20</v>
      </c>
      <c r="D43" s="15">
        <v>25</v>
      </c>
      <c r="E43" s="15">
        <v>15</v>
      </c>
      <c r="F43" s="15">
        <v>10</v>
      </c>
      <c r="G43" s="15">
        <v>15</v>
      </c>
      <c r="H43" s="15">
        <v>15</v>
      </c>
      <c r="I43" s="266"/>
    </row>
    <row r="44" spans="1:9" s="35" customFormat="1" ht="60" x14ac:dyDescent="0.25">
      <c r="A44" s="196"/>
      <c r="B44" s="43" t="s">
        <v>449</v>
      </c>
      <c r="C44" s="43" t="s">
        <v>472</v>
      </c>
      <c r="D44" s="43" t="s">
        <v>451</v>
      </c>
      <c r="E44" s="43" t="s">
        <v>452</v>
      </c>
      <c r="F44" s="43" t="s">
        <v>462</v>
      </c>
      <c r="G44" s="43" t="s">
        <v>470</v>
      </c>
      <c r="H44" s="43" t="s">
        <v>471</v>
      </c>
      <c r="I44" s="266"/>
    </row>
    <row r="45" spans="1:9" s="35" customFormat="1" x14ac:dyDescent="0.25">
      <c r="A45" s="196" t="s">
        <v>455</v>
      </c>
      <c r="B45" s="15"/>
      <c r="C45" s="15">
        <v>3</v>
      </c>
      <c r="D45" s="15">
        <v>3</v>
      </c>
      <c r="E45" s="15">
        <v>3</v>
      </c>
      <c r="F45" s="15">
        <v>3</v>
      </c>
      <c r="G45" s="15">
        <v>3</v>
      </c>
      <c r="H45" s="15">
        <v>3</v>
      </c>
      <c r="I45" s="266"/>
    </row>
    <row r="46" spans="1:9" s="35" customFormat="1" x14ac:dyDescent="0.25">
      <c r="A46" s="196" t="s">
        <v>453</v>
      </c>
      <c r="B46" s="6"/>
      <c r="C46" s="6"/>
      <c r="D46" s="6"/>
      <c r="E46" s="6"/>
      <c r="F46" s="6"/>
      <c r="G46" s="6"/>
      <c r="H46" s="6"/>
      <c r="I46" s="266"/>
    </row>
    <row r="47" spans="1:9" ht="15.75" x14ac:dyDescent="0.25">
      <c r="A47" s="169" t="s">
        <v>74</v>
      </c>
      <c r="B47" s="7" t="s">
        <v>161</v>
      </c>
      <c r="C47" s="6">
        <v>3</v>
      </c>
      <c r="D47" s="6">
        <v>3</v>
      </c>
      <c r="E47" s="6">
        <v>3</v>
      </c>
      <c r="F47" s="15">
        <v>1</v>
      </c>
      <c r="G47" s="6">
        <v>2</v>
      </c>
      <c r="H47" s="6">
        <v>3</v>
      </c>
      <c r="I47" s="258">
        <f t="shared" si="2"/>
        <v>0.8833333333333333</v>
      </c>
    </row>
    <row r="48" spans="1:9" ht="30" x14ac:dyDescent="0.25">
      <c r="A48" s="168" t="s">
        <v>300</v>
      </c>
      <c r="B48" s="7" t="s">
        <v>461</v>
      </c>
      <c r="C48" s="6">
        <v>2</v>
      </c>
      <c r="D48" s="6">
        <v>2</v>
      </c>
      <c r="E48" s="6">
        <v>2</v>
      </c>
      <c r="F48" s="15">
        <v>3</v>
      </c>
      <c r="G48" s="6">
        <v>1</v>
      </c>
      <c r="H48" s="6">
        <v>2</v>
      </c>
      <c r="I48" s="256">
        <f t="shared" si="2"/>
        <v>0.65</v>
      </c>
    </row>
    <row r="49" spans="1:9" ht="30" x14ac:dyDescent="0.25">
      <c r="A49" s="168" t="s">
        <v>301</v>
      </c>
      <c r="B49" s="7" t="s">
        <v>457</v>
      </c>
      <c r="C49" s="6">
        <v>2</v>
      </c>
      <c r="D49" s="6">
        <v>3</v>
      </c>
      <c r="E49" s="6">
        <v>1</v>
      </c>
      <c r="F49" s="15">
        <v>2</v>
      </c>
      <c r="G49" s="6">
        <v>2</v>
      </c>
      <c r="H49" s="6">
        <v>1</v>
      </c>
      <c r="I49" s="256">
        <f t="shared" si="2"/>
        <v>0.65</v>
      </c>
    </row>
    <row r="50" spans="1:9" ht="15.75" thickBot="1" x14ac:dyDescent="0.3">
      <c r="A50" s="197"/>
      <c r="B50" s="132" t="s">
        <v>459</v>
      </c>
      <c r="C50" s="59">
        <v>3</v>
      </c>
      <c r="D50" s="59">
        <v>1</v>
      </c>
      <c r="E50" s="59">
        <v>1</v>
      </c>
      <c r="F50" s="156">
        <v>2</v>
      </c>
      <c r="G50" s="59">
        <v>3</v>
      </c>
      <c r="H50" s="59">
        <v>3</v>
      </c>
      <c r="I50" s="265">
        <f t="shared" si="2"/>
        <v>0.7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83"/>
  <sheetViews>
    <sheetView tabSelected="1" zoomScaleNormal="100" workbookViewId="0">
      <selection activeCell="E225" sqref="E225"/>
    </sheetView>
  </sheetViews>
  <sheetFormatPr defaultRowHeight="15" x14ac:dyDescent="0.25"/>
  <cols>
    <col min="1" max="1" width="35.42578125" customWidth="1"/>
    <col min="2" max="2" width="24.5703125" bestFit="1" customWidth="1"/>
    <col min="3" max="3" width="31.7109375" bestFit="1" customWidth="1"/>
    <col min="4" max="4" width="20.85546875" bestFit="1" customWidth="1"/>
    <col min="5" max="5" width="23.7109375" bestFit="1" customWidth="1"/>
    <col min="6" max="6" width="22.7109375" customWidth="1"/>
    <col min="7" max="7" width="22.7109375" bestFit="1" customWidth="1"/>
    <col min="8" max="8" width="14.5703125" customWidth="1"/>
    <col min="9" max="9" width="31.7109375" bestFit="1" customWidth="1"/>
    <col min="10" max="10" width="8.5703125" bestFit="1" customWidth="1"/>
    <col min="11" max="11" width="12.5703125" bestFit="1" customWidth="1"/>
    <col min="12" max="12" width="19" bestFit="1" customWidth="1"/>
    <col min="13" max="13" width="12.5703125" bestFit="1" customWidth="1"/>
    <col min="14" max="14" width="11.140625" bestFit="1" customWidth="1"/>
    <col min="15" max="15" width="12.5703125" bestFit="1" customWidth="1"/>
  </cols>
  <sheetData>
    <row r="1" spans="1:10" ht="47.25" thickBot="1" x14ac:dyDescent="0.4">
      <c r="A1" s="115" t="s">
        <v>479</v>
      </c>
      <c r="F1" s="182" t="s">
        <v>29</v>
      </c>
      <c r="G1" s="184"/>
      <c r="I1" s="61" t="s">
        <v>21</v>
      </c>
      <c r="J1" s="54"/>
    </row>
    <row r="2" spans="1:10" ht="15.75" thickBot="1" x14ac:dyDescent="0.3">
      <c r="F2" s="180" t="s">
        <v>30</v>
      </c>
      <c r="G2" s="56">
        <v>5</v>
      </c>
      <c r="I2" s="55" t="s">
        <v>37</v>
      </c>
      <c r="J2" s="56">
        <v>6378100</v>
      </c>
    </row>
    <row r="3" spans="1:10" x14ac:dyDescent="0.25">
      <c r="B3" s="182" t="s">
        <v>0</v>
      </c>
      <c r="C3" s="189"/>
      <c r="D3" s="190"/>
      <c r="F3" s="180" t="s">
        <v>31</v>
      </c>
      <c r="G3" s="56">
        <f>G2*365</f>
        <v>1825</v>
      </c>
      <c r="I3" s="55" t="s">
        <v>22</v>
      </c>
      <c r="J3" s="63">
        <v>398600000000000</v>
      </c>
    </row>
    <row r="4" spans="1:10" x14ac:dyDescent="0.25">
      <c r="B4" s="191" t="s">
        <v>1</v>
      </c>
      <c r="C4" s="185">
        <v>2.16</v>
      </c>
      <c r="D4" s="186"/>
      <c r="F4" s="180" t="s">
        <v>32</v>
      </c>
      <c r="G4" s="56">
        <f>G3*24</f>
        <v>43800</v>
      </c>
      <c r="I4" s="55" t="s">
        <v>23</v>
      </c>
      <c r="J4" s="56">
        <v>0.15</v>
      </c>
    </row>
    <row r="5" spans="1:10" x14ac:dyDescent="0.25">
      <c r="B5" s="191" t="s">
        <v>2</v>
      </c>
      <c r="C5" s="185">
        <v>7.2</v>
      </c>
      <c r="D5" s="186"/>
      <c r="F5" s="180" t="s">
        <v>33</v>
      </c>
      <c r="G5" s="56">
        <f>G4*60</f>
        <v>2628000</v>
      </c>
      <c r="I5" s="55" t="s">
        <v>159</v>
      </c>
      <c r="J5" s="56">
        <v>9.81</v>
      </c>
    </row>
    <row r="6" spans="1:10" ht="15.75" thickBot="1" x14ac:dyDescent="0.3">
      <c r="B6" s="191" t="s">
        <v>341</v>
      </c>
      <c r="C6" s="185">
        <v>750</v>
      </c>
      <c r="D6" s="186"/>
      <c r="F6" s="181" t="s">
        <v>34</v>
      </c>
      <c r="G6" s="60">
        <f>G5*60</f>
        <v>157680000</v>
      </c>
      <c r="I6" s="96" t="s">
        <v>391</v>
      </c>
      <c r="J6" s="97">
        <v>15</v>
      </c>
    </row>
    <row r="7" spans="1:10" s="35" customFormat="1" x14ac:dyDescent="0.25">
      <c r="B7" s="191" t="s">
        <v>342</v>
      </c>
      <c r="C7" s="185">
        <v>650</v>
      </c>
      <c r="D7" s="186"/>
      <c r="F7" s="38"/>
      <c r="G7" s="38"/>
      <c r="I7" s="6" t="s">
        <v>397</v>
      </c>
      <c r="J7" s="6">
        <v>25</v>
      </c>
    </row>
    <row r="8" spans="1:10" s="35" customFormat="1" x14ac:dyDescent="0.25">
      <c r="B8" s="191"/>
      <c r="C8" s="185"/>
      <c r="D8" s="186"/>
      <c r="F8" s="38"/>
      <c r="G8" s="38"/>
      <c r="I8" s="6" t="s">
        <v>398</v>
      </c>
      <c r="J8" s="8">
        <v>1723700</v>
      </c>
    </row>
    <row r="9" spans="1:10" x14ac:dyDescent="0.25">
      <c r="B9" s="191"/>
      <c r="C9" s="185"/>
      <c r="D9" s="194" t="s">
        <v>23</v>
      </c>
    </row>
    <row r="10" spans="1:10" x14ac:dyDescent="0.25">
      <c r="B10" s="191" t="s">
        <v>24</v>
      </c>
      <c r="C10" s="185">
        <f>C11</f>
        <v>3458.7000000000003</v>
      </c>
      <c r="D10" s="186">
        <f>D11</f>
        <v>3977.5050000000001</v>
      </c>
    </row>
    <row r="11" spans="1:10" x14ac:dyDescent="0.25">
      <c r="B11" s="191" t="s">
        <v>25</v>
      </c>
      <c r="C11" s="185">
        <f>(1/12)*C6*(3*(C4/2)^2+C5^2)</f>
        <v>3458.7000000000003</v>
      </c>
      <c r="D11" s="186">
        <f>C11*J4+C11</f>
        <v>3977.5050000000001</v>
      </c>
    </row>
    <row r="12" spans="1:10" ht="15.75" thickBot="1" x14ac:dyDescent="0.3">
      <c r="B12" s="193" t="s">
        <v>26</v>
      </c>
      <c r="C12" s="187">
        <f>C6*(C4/2)^2/2</f>
        <v>437.40000000000003</v>
      </c>
      <c r="D12" s="188">
        <f>C12*J4+C12</f>
        <v>503.01000000000005</v>
      </c>
    </row>
    <row r="13" spans="1:10" ht="15.75" thickBot="1" x14ac:dyDescent="0.3"/>
    <row r="14" spans="1:10" x14ac:dyDescent="0.25">
      <c r="B14" s="198" t="s">
        <v>4</v>
      </c>
      <c r="C14" s="189" t="s">
        <v>343</v>
      </c>
      <c r="D14" s="184">
        <v>4430</v>
      </c>
    </row>
    <row r="15" spans="1:10" x14ac:dyDescent="0.25">
      <c r="B15" s="191" t="s">
        <v>3</v>
      </c>
      <c r="C15" s="7" t="s">
        <v>6</v>
      </c>
      <c r="D15" s="192" t="s">
        <v>7</v>
      </c>
    </row>
    <row r="16" spans="1:10" x14ac:dyDescent="0.25">
      <c r="B16" s="191" t="s">
        <v>5</v>
      </c>
      <c r="C16" s="6">
        <v>0.04</v>
      </c>
      <c r="D16" s="56">
        <f>C16*0.0254</f>
        <v>1.016E-3</v>
      </c>
    </row>
    <row r="17" spans="1:4" x14ac:dyDescent="0.25">
      <c r="B17" s="191"/>
      <c r="C17" s="7" t="s">
        <v>9</v>
      </c>
      <c r="D17" s="192" t="s">
        <v>10</v>
      </c>
    </row>
    <row r="18" spans="1:4" x14ac:dyDescent="0.25">
      <c r="B18" s="191" t="s">
        <v>8</v>
      </c>
      <c r="C18" s="8">
        <v>15200</v>
      </c>
      <c r="D18" s="57">
        <v>104800.34</v>
      </c>
    </row>
    <row r="19" spans="1:4" x14ac:dyDescent="0.25">
      <c r="B19" s="191" t="s">
        <v>315</v>
      </c>
      <c r="C19" s="6">
        <v>48</v>
      </c>
      <c r="D19" s="57">
        <v>1.2192000000000001</v>
      </c>
    </row>
    <row r="20" spans="1:4" s="35" customFormat="1" x14ac:dyDescent="0.25">
      <c r="B20" s="191" t="s">
        <v>331</v>
      </c>
      <c r="C20" s="7" t="s">
        <v>332</v>
      </c>
      <c r="D20" s="199" t="s">
        <v>333</v>
      </c>
    </row>
    <row r="21" spans="1:4" s="35" customFormat="1" x14ac:dyDescent="0.25">
      <c r="B21" s="191"/>
      <c r="C21" s="16">
        <f>(4/3)*PI()*(C19/2)^3</f>
        <v>57905.835790967059</v>
      </c>
      <c r="D21" s="57">
        <f>(4/3)*PI()*(D19/2)^3</f>
        <v>0.94890663708006806</v>
      </c>
    </row>
    <row r="22" spans="1:4" s="35" customFormat="1" x14ac:dyDescent="0.25">
      <c r="B22" s="191" t="s">
        <v>344</v>
      </c>
      <c r="C22" s="50" t="s">
        <v>332</v>
      </c>
      <c r="D22" s="199" t="s">
        <v>333</v>
      </c>
    </row>
    <row r="23" spans="1:4" s="35" customFormat="1" x14ac:dyDescent="0.25">
      <c r="B23" s="191"/>
      <c r="C23" s="16">
        <f>((4/3)*PI()*(C19/2+C16)^3)-C21</f>
        <v>290.01199566899595</v>
      </c>
      <c r="D23" s="57">
        <f>(4/3)*PI()*(D19/2+D16)^3-D21</f>
        <v>4.7524451337956908E-3</v>
      </c>
    </row>
    <row r="24" spans="1:4" x14ac:dyDescent="0.25">
      <c r="B24" s="191" t="s">
        <v>11</v>
      </c>
      <c r="C24" s="7" t="s">
        <v>16</v>
      </c>
      <c r="D24" s="192" t="s">
        <v>17</v>
      </c>
    </row>
    <row r="25" spans="1:4" x14ac:dyDescent="0.25">
      <c r="A25" s="38"/>
      <c r="B25" s="196" t="s">
        <v>12</v>
      </c>
      <c r="C25" s="6">
        <v>250</v>
      </c>
      <c r="D25" s="56">
        <v>1425</v>
      </c>
    </row>
    <row r="26" spans="1:4" ht="30" x14ac:dyDescent="0.25">
      <c r="B26" s="196" t="s">
        <v>13</v>
      </c>
      <c r="C26" s="6">
        <v>125</v>
      </c>
      <c r="D26" s="56">
        <v>860</v>
      </c>
    </row>
    <row r="27" spans="1:4" x14ac:dyDescent="0.25">
      <c r="B27" s="196" t="s">
        <v>14</v>
      </c>
      <c r="C27" s="6">
        <v>85</v>
      </c>
      <c r="D27" s="56">
        <v>585</v>
      </c>
    </row>
    <row r="28" spans="1:4" s="35" customFormat="1" x14ac:dyDescent="0.25">
      <c r="B28" s="196" t="s">
        <v>407</v>
      </c>
      <c r="C28" s="7" t="s">
        <v>409</v>
      </c>
      <c r="D28" s="192" t="s">
        <v>408</v>
      </c>
    </row>
    <row r="29" spans="1:4" s="35" customFormat="1" x14ac:dyDescent="0.25">
      <c r="B29" s="196"/>
      <c r="C29" s="6">
        <v>0.16</v>
      </c>
      <c r="D29" s="56">
        <v>4428.7847499999998</v>
      </c>
    </row>
    <row r="30" spans="1:4" s="35" customFormat="1" x14ac:dyDescent="0.25">
      <c r="B30" s="196" t="s">
        <v>405</v>
      </c>
      <c r="C30" s="7" t="s">
        <v>406</v>
      </c>
      <c r="D30" s="192" t="s">
        <v>133</v>
      </c>
    </row>
    <row r="31" spans="1:4" x14ac:dyDescent="0.25">
      <c r="B31" s="191"/>
      <c r="C31" s="16">
        <f>(C21-((4/3)*PI()*((C19-C16)/2)^3))*C29</f>
        <v>23.143037732774392</v>
      </c>
      <c r="D31" s="57">
        <f>0.453529237*C31</f>
        <v>10.496044244807379</v>
      </c>
    </row>
    <row r="32" spans="1:4" x14ac:dyDescent="0.25">
      <c r="B32" s="196" t="s">
        <v>314</v>
      </c>
      <c r="C32" s="7" t="s">
        <v>316</v>
      </c>
      <c r="D32" s="192" t="s">
        <v>317</v>
      </c>
    </row>
    <row r="33" spans="1:13" ht="15.75" thickBot="1" x14ac:dyDescent="0.3">
      <c r="A33" s="38"/>
      <c r="B33" s="197" t="s">
        <v>15</v>
      </c>
      <c r="C33" s="59">
        <v>250</v>
      </c>
      <c r="D33" s="60">
        <v>1.7237</v>
      </c>
      <c r="E33" s="10"/>
      <c r="F33" s="10"/>
      <c r="G33" s="10"/>
      <c r="H33" s="10"/>
      <c r="I33" s="10"/>
      <c r="J33" s="10"/>
      <c r="K33" s="10"/>
      <c r="L33" s="10"/>
      <c r="M33" s="10"/>
    </row>
    <row r="34" spans="1:13" ht="21.75" thickBot="1" x14ac:dyDescent="0.4">
      <c r="A34" s="11" t="s">
        <v>28</v>
      </c>
    </row>
    <row r="35" spans="1:13" ht="18" thickBot="1" x14ac:dyDescent="0.35">
      <c r="A35" s="3" t="s">
        <v>18</v>
      </c>
    </row>
    <row r="36" spans="1:13" ht="15.75" thickBot="1" x14ac:dyDescent="0.3">
      <c r="A36" s="136" t="s">
        <v>54</v>
      </c>
      <c r="B36" s="137" t="s">
        <v>36</v>
      </c>
      <c r="C36" s="138">
        <v>1000000</v>
      </c>
    </row>
    <row r="37" spans="1:13" x14ac:dyDescent="0.25">
      <c r="A37" s="64" t="s">
        <v>19</v>
      </c>
    </row>
    <row r="38" spans="1:13" x14ac:dyDescent="0.25">
      <c r="A38" s="65" t="s">
        <v>57</v>
      </c>
    </row>
    <row r="39" spans="1:13" ht="15.75" thickBot="1" x14ac:dyDescent="0.3">
      <c r="A39" s="66" t="s">
        <v>20</v>
      </c>
    </row>
    <row r="40" spans="1:13" x14ac:dyDescent="0.25">
      <c r="B40" s="200"/>
      <c r="C40" s="189" t="s">
        <v>38</v>
      </c>
      <c r="D40" s="189" t="s">
        <v>39</v>
      </c>
      <c r="E40" s="183"/>
      <c r="F40" s="183"/>
      <c r="G40" s="184"/>
    </row>
    <row r="41" spans="1:13" x14ac:dyDescent="0.25">
      <c r="A41" s="2"/>
      <c r="B41" s="191" t="s">
        <v>35</v>
      </c>
      <c r="C41" s="6">
        <f>3*J3*(ABS(D12-D10))*SIN(2*F41*PI()/180)/2/(J2+C36)^3</f>
        <v>1.8051188309024709E-4</v>
      </c>
      <c r="D41" s="6">
        <f>3*J3*(ABS(D12-D10))*SIN(2*G41*PI()/180)/2/(J2+C36)^3</f>
        <v>5.1723348513880215E-3</v>
      </c>
      <c r="E41" s="6" t="s">
        <v>27</v>
      </c>
      <c r="F41" s="13">
        <v>1</v>
      </c>
      <c r="G41" s="56">
        <v>45</v>
      </c>
    </row>
    <row r="42" spans="1:13" x14ac:dyDescent="0.25">
      <c r="B42" s="180"/>
      <c r="C42" s="7" t="s">
        <v>38</v>
      </c>
      <c r="D42" s="7" t="s">
        <v>39</v>
      </c>
      <c r="E42" s="6"/>
      <c r="F42" s="6"/>
      <c r="G42" s="56"/>
    </row>
    <row r="43" spans="1:13" x14ac:dyDescent="0.25">
      <c r="B43" s="191" t="s">
        <v>40</v>
      </c>
      <c r="C43" s="8">
        <f>F43*F48*F45*(1+F47)*COS(F46*PI()/180)/F44</f>
        <v>3.0828362445375637E-5</v>
      </c>
      <c r="D43" s="8">
        <f>F43*F48*F45*(1+G47)*COS(G46*PI()/180)/F44</f>
        <v>4.2519168000000004E-5</v>
      </c>
      <c r="E43" s="6" t="s">
        <v>47</v>
      </c>
      <c r="F43" s="6">
        <v>1367</v>
      </c>
      <c r="G43" s="63"/>
    </row>
    <row r="44" spans="1:13" x14ac:dyDescent="0.25">
      <c r="A44" s="2"/>
      <c r="B44" s="180"/>
      <c r="C44" s="6"/>
      <c r="D44" s="6"/>
      <c r="E44" s="6" t="s">
        <v>48</v>
      </c>
      <c r="F44" s="8">
        <v>300000000</v>
      </c>
      <c r="G44" s="56"/>
    </row>
    <row r="45" spans="1:13" x14ac:dyDescent="0.25">
      <c r="A45" s="2"/>
      <c r="B45" s="180"/>
      <c r="C45" s="6"/>
      <c r="D45" s="6"/>
      <c r="E45" s="6" t="s">
        <v>480</v>
      </c>
      <c r="F45" s="6">
        <v>0.3</v>
      </c>
      <c r="G45" s="63"/>
    </row>
    <row r="46" spans="1:13" x14ac:dyDescent="0.25">
      <c r="A46" s="2"/>
      <c r="B46" s="180"/>
      <c r="C46" s="6"/>
      <c r="D46" s="6"/>
      <c r="E46" s="6" t="s">
        <v>44</v>
      </c>
      <c r="F46" s="6">
        <v>25</v>
      </c>
      <c r="G46" s="56">
        <v>0</v>
      </c>
    </row>
    <row r="47" spans="1:13" x14ac:dyDescent="0.25">
      <c r="A47" s="2"/>
      <c r="B47" s="180"/>
      <c r="C47" s="6"/>
      <c r="D47" s="6"/>
      <c r="E47" s="6" t="s">
        <v>45</v>
      </c>
      <c r="F47" s="6">
        <v>0.6</v>
      </c>
      <c r="G47" s="56">
        <v>1</v>
      </c>
    </row>
    <row r="48" spans="1:13" x14ac:dyDescent="0.25">
      <c r="A48" s="2"/>
      <c r="B48" s="201"/>
      <c r="C48" s="94"/>
      <c r="D48" s="94"/>
      <c r="E48" s="94" t="s">
        <v>46</v>
      </c>
      <c r="F48" s="94">
        <f>C5*C4</f>
        <v>15.552000000000001</v>
      </c>
      <c r="G48" s="100"/>
    </row>
    <row r="49" spans="1:7" x14ac:dyDescent="0.25">
      <c r="B49" s="180"/>
      <c r="C49" s="7" t="s">
        <v>39</v>
      </c>
      <c r="D49" s="6"/>
      <c r="E49" s="6"/>
      <c r="F49" s="6"/>
      <c r="G49" s="56"/>
    </row>
    <row r="50" spans="1:7" x14ac:dyDescent="0.25">
      <c r="B50" s="191" t="s">
        <v>41</v>
      </c>
      <c r="C50" s="8">
        <f>F50*F51</f>
        <v>2.2500000000000002E-4</v>
      </c>
      <c r="D50" s="6"/>
      <c r="E50" s="6" t="s">
        <v>49</v>
      </c>
      <c r="F50" s="6">
        <v>5</v>
      </c>
      <c r="G50" s="56"/>
    </row>
    <row r="51" spans="1:7" ht="45" x14ac:dyDescent="0.25">
      <c r="B51" s="180"/>
      <c r="C51" s="6"/>
      <c r="D51" s="6"/>
      <c r="E51" s="15" t="s">
        <v>50</v>
      </c>
      <c r="F51" s="8">
        <v>4.5000000000000003E-5</v>
      </c>
      <c r="G51" s="56"/>
    </row>
    <row r="52" spans="1:7" x14ac:dyDescent="0.25">
      <c r="B52" s="180"/>
      <c r="C52" s="7" t="s">
        <v>39</v>
      </c>
      <c r="D52" s="6"/>
      <c r="E52" s="6"/>
      <c r="F52" s="6"/>
      <c r="G52" s="56"/>
    </row>
    <row r="53" spans="1:7" x14ac:dyDescent="0.25">
      <c r="B53" s="191" t="s">
        <v>42</v>
      </c>
      <c r="C53" s="8">
        <f>F53*0.5*F55*F56*F48*F54^2</f>
        <v>2.520578685569455E-5</v>
      </c>
      <c r="D53" s="6"/>
      <c r="E53" s="6" t="s">
        <v>43</v>
      </c>
      <c r="F53" s="6">
        <v>0.3</v>
      </c>
      <c r="G53" s="56"/>
    </row>
    <row r="54" spans="1:7" x14ac:dyDescent="0.25">
      <c r="B54" s="180"/>
      <c r="C54" s="6"/>
      <c r="D54" s="6"/>
      <c r="E54" s="6" t="s">
        <v>51</v>
      </c>
      <c r="F54" s="6">
        <f>SQRT(J3/(J2+C36))</f>
        <v>7350.1529861016097</v>
      </c>
      <c r="G54" s="56"/>
    </row>
    <row r="55" spans="1:7" ht="30" x14ac:dyDescent="0.25">
      <c r="B55" s="180"/>
      <c r="C55" s="6"/>
      <c r="D55" s="6"/>
      <c r="E55" s="15" t="s">
        <v>53</v>
      </c>
      <c r="F55" s="8">
        <v>1E-13</v>
      </c>
      <c r="G55" s="56"/>
    </row>
    <row r="56" spans="1:7" ht="15.75" thickBot="1" x14ac:dyDescent="0.3">
      <c r="B56" s="181"/>
      <c r="C56" s="59"/>
      <c r="D56" s="59"/>
      <c r="E56" s="59" t="s">
        <v>52</v>
      </c>
      <c r="F56" s="59">
        <v>2</v>
      </c>
      <c r="G56" s="60"/>
    </row>
    <row r="57" spans="1:7" ht="15.75" thickBot="1" x14ac:dyDescent="0.3"/>
    <row r="58" spans="1:7" x14ac:dyDescent="0.25">
      <c r="B58" s="200"/>
      <c r="C58" s="189" t="s">
        <v>38</v>
      </c>
      <c r="D58" s="190" t="s">
        <v>39</v>
      </c>
    </row>
    <row r="59" spans="1:7" x14ac:dyDescent="0.25">
      <c r="B59" s="191" t="s">
        <v>55</v>
      </c>
      <c r="C59" s="8">
        <f>C53+C50+C43+C41</f>
        <v>4.6154603239131729E-4</v>
      </c>
      <c r="D59" s="63">
        <f>C53+C50+D43+D41</f>
        <v>5.4650598062437163E-3</v>
      </c>
    </row>
    <row r="60" spans="1:7" ht="15.75" thickBot="1" x14ac:dyDescent="0.3">
      <c r="B60" s="193" t="s">
        <v>56</v>
      </c>
      <c r="C60" s="141">
        <f>C53+C50+C43+C41</f>
        <v>4.6154603239131729E-4</v>
      </c>
      <c r="D60" s="135">
        <f>C53+C50+D43+D41</f>
        <v>5.4650598062437163E-3</v>
      </c>
    </row>
    <row r="62" spans="1:7" ht="18" thickBot="1" x14ac:dyDescent="0.35">
      <c r="A62" s="3" t="s">
        <v>18</v>
      </c>
    </row>
    <row r="63" spans="1:7" ht="16.5" thickBot="1" x14ac:dyDescent="0.3">
      <c r="A63" s="139" t="s">
        <v>58</v>
      </c>
      <c r="B63" s="137" t="s">
        <v>36</v>
      </c>
      <c r="C63" s="138">
        <v>35786000</v>
      </c>
    </row>
    <row r="64" spans="1:7" x14ac:dyDescent="0.25">
      <c r="A64" s="64" t="s">
        <v>300</v>
      </c>
    </row>
    <row r="65" spans="1:7" x14ac:dyDescent="0.25">
      <c r="A65" s="64" t="s">
        <v>59</v>
      </c>
    </row>
    <row r="66" spans="1:7" ht="30.75" thickBot="1" x14ac:dyDescent="0.3">
      <c r="A66" s="67" t="s">
        <v>301</v>
      </c>
    </row>
    <row r="67" spans="1:7" x14ac:dyDescent="0.25">
      <c r="A67" s="2"/>
      <c r="B67" s="74"/>
      <c r="C67" s="105" t="s">
        <v>38</v>
      </c>
      <c r="D67" s="98" t="s">
        <v>39</v>
      </c>
      <c r="E67" s="53"/>
      <c r="F67" s="53"/>
      <c r="G67" s="54"/>
    </row>
    <row r="68" spans="1:7" x14ac:dyDescent="0.25">
      <c r="A68" s="2"/>
      <c r="B68" s="106" t="s">
        <v>35</v>
      </c>
      <c r="C68" s="6">
        <f>3*J3*ABS(D12-D11)*SIN(2*F68*PI()/180)/2/(C63+J2)^3</f>
        <v>9.6718801067413568E-7</v>
      </c>
      <c r="D68" s="6">
        <f>3*J3*ABS(D12-D11)*SIN(2*G68*PI()/180)/2/(C63+J2)^3</f>
        <v>2.7713523175387941E-5</v>
      </c>
      <c r="E68" s="6" t="s">
        <v>27</v>
      </c>
      <c r="F68" s="13">
        <v>1</v>
      </c>
      <c r="G68" s="56">
        <v>45</v>
      </c>
    </row>
    <row r="69" spans="1:7" x14ac:dyDescent="0.25">
      <c r="A69" s="2"/>
      <c r="B69" s="55"/>
      <c r="C69" s="7" t="s">
        <v>38</v>
      </c>
      <c r="D69" s="7" t="s">
        <v>39</v>
      </c>
      <c r="E69" s="6"/>
      <c r="F69" s="6"/>
      <c r="G69" s="56"/>
    </row>
    <row r="70" spans="1:7" x14ac:dyDescent="0.25">
      <c r="B70" s="58" t="s">
        <v>40</v>
      </c>
      <c r="C70" s="8">
        <f>F70*F75*F72*(1+F74)*COS(F73*PI()/180)/F71</f>
        <v>3.0828362445375637E-5</v>
      </c>
      <c r="D70" s="8">
        <f>F70*F75*F72*(1+G74)*COS(G73*PI()/180)/F71</f>
        <v>4.2519168000000004E-5</v>
      </c>
      <c r="E70" s="6" t="s">
        <v>47</v>
      </c>
      <c r="F70" s="6">
        <v>1367</v>
      </c>
      <c r="G70" s="63"/>
    </row>
    <row r="71" spans="1:7" x14ac:dyDescent="0.25">
      <c r="B71" s="55"/>
      <c r="C71" s="6"/>
      <c r="D71" s="6"/>
      <c r="E71" s="6" t="s">
        <v>48</v>
      </c>
      <c r="F71" s="8">
        <v>300000000</v>
      </c>
      <c r="G71" s="56"/>
    </row>
    <row r="72" spans="1:7" x14ac:dyDescent="0.25">
      <c r="A72" s="2"/>
      <c r="B72" s="55"/>
      <c r="C72" s="6"/>
      <c r="D72" s="6"/>
      <c r="E72" s="6" t="s">
        <v>43</v>
      </c>
      <c r="F72" s="6">
        <v>0.3</v>
      </c>
      <c r="G72" s="63"/>
    </row>
    <row r="73" spans="1:7" x14ac:dyDescent="0.25">
      <c r="B73" s="55"/>
      <c r="C73" s="6"/>
      <c r="D73" s="6"/>
      <c r="E73" s="6" t="s">
        <v>44</v>
      </c>
      <c r="F73" s="6">
        <v>25</v>
      </c>
      <c r="G73" s="56">
        <v>0</v>
      </c>
    </row>
    <row r="74" spans="1:7" x14ac:dyDescent="0.25">
      <c r="B74" s="55"/>
      <c r="C74" s="6"/>
      <c r="D74" s="6"/>
      <c r="E74" s="6" t="s">
        <v>45</v>
      </c>
      <c r="F74" s="6">
        <v>0.6</v>
      </c>
      <c r="G74" s="56">
        <v>1</v>
      </c>
    </row>
    <row r="75" spans="1:7" x14ac:dyDescent="0.25">
      <c r="B75" s="99"/>
      <c r="C75" s="94"/>
      <c r="D75" s="94"/>
      <c r="E75" s="94" t="s">
        <v>46</v>
      </c>
      <c r="F75" s="94">
        <f>C5*C4</f>
        <v>15.552000000000001</v>
      </c>
      <c r="G75" s="100"/>
    </row>
    <row r="76" spans="1:7" x14ac:dyDescent="0.25">
      <c r="B76" s="55"/>
      <c r="C76" s="7" t="s">
        <v>39</v>
      </c>
      <c r="D76" s="6"/>
      <c r="E76" s="6"/>
      <c r="F76" s="6"/>
      <c r="G76" s="56"/>
    </row>
    <row r="77" spans="1:7" x14ac:dyDescent="0.25">
      <c r="B77" s="58" t="s">
        <v>41</v>
      </c>
      <c r="C77" s="8">
        <f>F78*F77</f>
        <v>2.2500000000000002E-4</v>
      </c>
      <c r="D77" s="6"/>
      <c r="E77" s="6" t="s">
        <v>49</v>
      </c>
      <c r="F77" s="6">
        <v>5</v>
      </c>
      <c r="G77" s="56"/>
    </row>
    <row r="78" spans="1:7" ht="45" x14ac:dyDescent="0.25">
      <c r="B78" s="55"/>
      <c r="C78" s="6"/>
      <c r="D78" s="6"/>
      <c r="E78" s="15" t="s">
        <v>50</v>
      </c>
      <c r="F78" s="8">
        <v>4.5000000000000003E-5</v>
      </c>
      <c r="G78" s="56"/>
    </row>
    <row r="79" spans="1:7" x14ac:dyDescent="0.25">
      <c r="B79" s="55"/>
      <c r="C79" s="7" t="s">
        <v>39</v>
      </c>
      <c r="D79" s="6"/>
      <c r="E79" s="6"/>
      <c r="F79" s="6"/>
      <c r="G79" s="56"/>
    </row>
    <row r="80" spans="1:7" x14ac:dyDescent="0.25">
      <c r="B80" s="58" t="s">
        <v>42</v>
      </c>
      <c r="C80" s="8">
        <f>F80*0.5*F82*F83*F75*F81</f>
        <v>7.9724082825114066E-15</v>
      </c>
      <c r="D80" s="6"/>
      <c r="E80" s="6" t="s">
        <v>43</v>
      </c>
      <c r="F80" s="6">
        <v>0.3</v>
      </c>
      <c r="G80" s="56"/>
    </row>
    <row r="81" spans="1:13" x14ac:dyDescent="0.25">
      <c r="B81" s="55"/>
      <c r="C81" s="6"/>
      <c r="D81" s="6"/>
      <c r="E81" s="6" t="s">
        <v>51</v>
      </c>
      <c r="F81" s="6">
        <f>SQRT(J3/C63)</f>
        <v>3337.4292538537575</v>
      </c>
      <c r="G81" s="56"/>
    </row>
    <row r="82" spans="1:13" ht="30" x14ac:dyDescent="0.25">
      <c r="B82" s="55"/>
      <c r="C82" s="6"/>
      <c r="D82" s="6"/>
      <c r="E82" s="15" t="s">
        <v>53</v>
      </c>
      <c r="F82" s="8">
        <v>5.1199999999999995E-19</v>
      </c>
      <c r="G82" s="56"/>
    </row>
    <row r="83" spans="1:13" ht="15.75" thickBot="1" x14ac:dyDescent="0.3">
      <c r="B83" s="62"/>
      <c r="C83" s="59"/>
      <c r="D83" s="59"/>
      <c r="E83" s="59" t="s">
        <v>52</v>
      </c>
      <c r="F83" s="59">
        <v>2</v>
      </c>
      <c r="G83" s="60"/>
    </row>
    <row r="84" spans="1:13" ht="15.75" thickBot="1" x14ac:dyDescent="0.3"/>
    <row r="85" spans="1:13" x14ac:dyDescent="0.25">
      <c r="B85" s="85"/>
      <c r="C85" s="101" t="s">
        <v>38</v>
      </c>
      <c r="D85" s="86" t="s">
        <v>39</v>
      </c>
    </row>
    <row r="86" spans="1:13" x14ac:dyDescent="0.25">
      <c r="B86" s="102" t="s">
        <v>60</v>
      </c>
      <c r="C86" s="103">
        <f>C80+C77+C70+C68</f>
        <v>2.5679555046402222E-4</v>
      </c>
      <c r="D86" s="104">
        <f>C80+C77+D70+D68</f>
        <v>2.9523269118336036E-4</v>
      </c>
    </row>
    <row r="87" spans="1:13" ht="15.75" thickBot="1" x14ac:dyDescent="0.3">
      <c r="A87" s="38"/>
      <c r="B87" s="107" t="s">
        <v>61</v>
      </c>
      <c r="C87" s="108">
        <f>C80+C77+C70+C68</f>
        <v>2.5679555046402222E-4</v>
      </c>
      <c r="D87" s="109">
        <f>C80+C77+D70+D68</f>
        <v>2.9523269118336036E-4</v>
      </c>
      <c r="E87" s="10"/>
      <c r="F87" s="10"/>
      <c r="G87" s="10"/>
      <c r="H87" s="10"/>
      <c r="I87" s="10"/>
      <c r="J87" s="10"/>
      <c r="K87" s="10"/>
      <c r="L87" s="10"/>
      <c r="M87" s="10"/>
    </row>
    <row r="88" spans="1:13" ht="64.5" thickTop="1" thickBot="1" x14ac:dyDescent="0.4">
      <c r="A88" s="68" t="s">
        <v>65</v>
      </c>
    </row>
    <row r="89" spans="1:13" ht="15.75" x14ac:dyDescent="0.25">
      <c r="B89" s="1" t="s">
        <v>67</v>
      </c>
      <c r="C89" s="204" t="s">
        <v>62</v>
      </c>
      <c r="D89" s="189" t="s">
        <v>38</v>
      </c>
      <c r="E89" s="189"/>
      <c r="F89" s="189" t="s">
        <v>39</v>
      </c>
      <c r="G89" s="184"/>
    </row>
    <row r="90" spans="1:13" x14ac:dyDescent="0.25">
      <c r="C90" s="180"/>
      <c r="D90" s="6" t="s">
        <v>63</v>
      </c>
      <c r="E90" s="6" t="s">
        <v>64</v>
      </c>
      <c r="F90" s="6" t="s">
        <v>63</v>
      </c>
      <c r="G90" s="56" t="s">
        <v>64</v>
      </c>
    </row>
    <row r="91" spans="1:13" x14ac:dyDescent="0.25">
      <c r="C91" s="180"/>
      <c r="D91" s="6"/>
      <c r="E91" s="6"/>
      <c r="F91" s="6"/>
      <c r="G91" s="56"/>
    </row>
    <row r="92" spans="1:13" x14ac:dyDescent="0.25">
      <c r="C92" s="191" t="s">
        <v>55</v>
      </c>
      <c r="D92" s="8">
        <f>C59</f>
        <v>4.6154603239131729E-4</v>
      </c>
      <c r="E92" s="8">
        <f>0.25*D92+D92</f>
        <v>5.7693254048914666E-4</v>
      </c>
      <c r="F92" s="8">
        <f>D59</f>
        <v>5.4650598062437163E-3</v>
      </c>
      <c r="G92" s="63">
        <f>0.25*F92+F92</f>
        <v>6.8313247578046452E-3</v>
      </c>
    </row>
    <row r="93" spans="1:13" x14ac:dyDescent="0.25">
      <c r="C93" s="191" t="s">
        <v>56</v>
      </c>
      <c r="D93" s="8">
        <f>C60</f>
        <v>4.6154603239131729E-4</v>
      </c>
      <c r="E93" s="8">
        <f t="shared" ref="E93:E95" si="0">0.25*D93+D93</f>
        <v>5.7693254048914666E-4</v>
      </c>
      <c r="F93" s="8">
        <f>D60</f>
        <v>5.4650598062437163E-3</v>
      </c>
      <c r="G93" s="63">
        <f t="shared" ref="G93:G95" si="1">0.25*F93+F93</f>
        <v>6.8313247578046452E-3</v>
      </c>
    </row>
    <row r="94" spans="1:13" x14ac:dyDescent="0.25">
      <c r="C94" s="191" t="s">
        <v>60</v>
      </c>
      <c r="D94" s="8">
        <f>C86</f>
        <v>2.5679555046402222E-4</v>
      </c>
      <c r="E94" s="8">
        <f t="shared" si="0"/>
        <v>3.2099443808002778E-4</v>
      </c>
      <c r="F94" s="8">
        <f>D86</f>
        <v>2.9523269118336036E-4</v>
      </c>
      <c r="G94" s="63">
        <f t="shared" si="1"/>
        <v>3.6904086397920047E-4</v>
      </c>
    </row>
    <row r="95" spans="1:13" ht="15.75" thickBot="1" x14ac:dyDescent="0.3">
      <c r="C95" s="193" t="s">
        <v>61</v>
      </c>
      <c r="D95" s="141">
        <f>C87</f>
        <v>2.5679555046402222E-4</v>
      </c>
      <c r="E95" s="141">
        <f t="shared" si="0"/>
        <v>3.2099443808002778E-4</v>
      </c>
      <c r="F95" s="141">
        <f>D87</f>
        <v>2.9523269118336036E-4</v>
      </c>
      <c r="G95" s="135">
        <f t="shared" si="1"/>
        <v>3.6904086397920047E-4</v>
      </c>
    </row>
    <row r="96" spans="1:13" ht="15.75" thickBot="1" x14ac:dyDescent="0.3"/>
    <row r="97" spans="2:7" ht="30" x14ac:dyDescent="0.25">
      <c r="B97" s="12" t="s">
        <v>66</v>
      </c>
      <c r="C97" s="142" t="s">
        <v>68</v>
      </c>
      <c r="D97" s="54">
        <v>30</v>
      </c>
    </row>
    <row r="98" spans="2:7" x14ac:dyDescent="0.25">
      <c r="C98" s="143" t="s">
        <v>70</v>
      </c>
      <c r="D98" s="56">
        <v>5</v>
      </c>
    </row>
    <row r="99" spans="2:7" ht="15.75" thickBot="1" x14ac:dyDescent="0.3">
      <c r="C99" s="144" t="s">
        <v>69</v>
      </c>
      <c r="D99" s="60">
        <f>4*D97*PI()/180*D11/(D98*60)^2</f>
        <v>9.2560744352716065E-2</v>
      </c>
    </row>
    <row r="100" spans="2:7" ht="15.75" thickBot="1" x14ac:dyDescent="0.3"/>
    <row r="101" spans="2:7" ht="30" x14ac:dyDescent="0.25">
      <c r="B101" s="12" t="s">
        <v>71</v>
      </c>
      <c r="C101" s="74"/>
      <c r="D101" s="98" t="s">
        <v>75</v>
      </c>
      <c r="E101" s="98" t="s">
        <v>111</v>
      </c>
      <c r="F101" s="98" t="s">
        <v>76</v>
      </c>
      <c r="G101" s="125" t="s">
        <v>177</v>
      </c>
    </row>
    <row r="102" spans="2:7" x14ac:dyDescent="0.25">
      <c r="C102" s="58" t="s">
        <v>72</v>
      </c>
      <c r="D102" s="13">
        <f>2*PI()*SQRT((C36+J2)^3/J3)</f>
        <v>6307.0754585054083</v>
      </c>
      <c r="E102" s="13">
        <f>D102</f>
        <v>6307.0754585054083</v>
      </c>
      <c r="F102" s="13">
        <f>2*PI()*SQRT((C63+J2)^3/J3)</f>
        <v>86163.924831987446</v>
      </c>
      <c r="G102" s="81">
        <f>F102</f>
        <v>86163.924831987446</v>
      </c>
    </row>
    <row r="103" spans="2:7" ht="30" x14ac:dyDescent="0.25">
      <c r="C103" s="121" t="s">
        <v>81</v>
      </c>
      <c r="D103" s="13">
        <f>E93*D102*0.707/4</f>
        <v>0.64315031165097958</v>
      </c>
      <c r="E103" s="13">
        <f>G93*E102*0.707/4</f>
        <v>7.615394068856066</v>
      </c>
      <c r="F103" s="13">
        <f>E94*F102*0.707/4</f>
        <v>4.8885763570972474</v>
      </c>
      <c r="G103" s="81">
        <f>G95*G102*0.707/4</f>
        <v>5.6202981373829299</v>
      </c>
    </row>
    <row r="104" spans="2:7" ht="30.75" thickBot="1" x14ac:dyDescent="0.3">
      <c r="C104" s="134" t="s">
        <v>78</v>
      </c>
      <c r="D104" s="59">
        <f>CEILING(D103*10,1)</f>
        <v>7</v>
      </c>
      <c r="E104" s="59">
        <f t="shared" ref="E104:G104" si="2">CEILING(E103*10,1)</f>
        <v>77</v>
      </c>
      <c r="F104" s="59">
        <f t="shared" si="2"/>
        <v>49</v>
      </c>
      <c r="G104" s="60">
        <f t="shared" si="2"/>
        <v>57</v>
      </c>
    </row>
    <row r="105" spans="2:7" ht="15.75" thickBot="1" x14ac:dyDescent="0.3"/>
    <row r="106" spans="2:7" ht="30" x14ac:dyDescent="0.25">
      <c r="B106" s="12" t="s">
        <v>79</v>
      </c>
      <c r="C106" s="74"/>
      <c r="D106" s="98" t="s">
        <v>75</v>
      </c>
      <c r="E106" s="98" t="s">
        <v>111</v>
      </c>
      <c r="F106" s="98" t="s">
        <v>76</v>
      </c>
      <c r="G106" s="125" t="s">
        <v>177</v>
      </c>
    </row>
    <row r="107" spans="2:7" x14ac:dyDescent="0.25">
      <c r="C107" s="58" t="s">
        <v>80</v>
      </c>
      <c r="D107" s="6">
        <v>1</v>
      </c>
      <c r="E107" s="6">
        <v>1</v>
      </c>
      <c r="F107" s="6">
        <v>1</v>
      </c>
      <c r="G107" s="56">
        <v>1</v>
      </c>
    </row>
    <row r="108" spans="2:7" ht="30.75" thickBot="1" x14ac:dyDescent="0.3">
      <c r="C108" s="134" t="s">
        <v>82</v>
      </c>
      <c r="D108" s="59">
        <f>D95*D102/(D107*PI()/180)</f>
        <v>92.797901160157934</v>
      </c>
      <c r="E108" s="59">
        <f t="shared" ref="E108:G108" si="3">E95*E102/(E107*PI()/180)</f>
        <v>115.99737645019741</v>
      </c>
      <c r="F108" s="59">
        <f t="shared" si="3"/>
        <v>1457.5133821885358</v>
      </c>
      <c r="G108" s="60">
        <f t="shared" si="3"/>
        <v>1821.8917277356697</v>
      </c>
    </row>
    <row r="109" spans="2:7" ht="15.75" thickBot="1" x14ac:dyDescent="0.3"/>
    <row r="110" spans="2:7" ht="30" x14ac:dyDescent="0.25">
      <c r="B110" s="12" t="s">
        <v>83</v>
      </c>
      <c r="C110" s="74"/>
      <c r="D110" s="98" t="s">
        <v>75</v>
      </c>
      <c r="E110" s="98" t="s">
        <v>111</v>
      </c>
      <c r="F110" s="98" t="s">
        <v>76</v>
      </c>
      <c r="G110" s="125" t="s">
        <v>177</v>
      </c>
    </row>
    <row r="111" spans="2:7" x14ac:dyDescent="0.25">
      <c r="C111" s="58" t="s">
        <v>85</v>
      </c>
      <c r="D111" s="6">
        <f>D108/$D11</f>
        <v>2.3330681208485703E-2</v>
      </c>
      <c r="E111" s="6">
        <f>E108/$D11</f>
        <v>2.9163351510607127E-2</v>
      </c>
      <c r="F111" s="6">
        <f>F108/$D11</f>
        <v>0.36643910747781228</v>
      </c>
      <c r="G111" s="56">
        <f>G108/$D11</f>
        <v>0.45804888434726537</v>
      </c>
    </row>
    <row r="112" spans="2:7" ht="15.75" thickBot="1" x14ac:dyDescent="0.3">
      <c r="C112" s="126" t="s">
        <v>84</v>
      </c>
      <c r="D112" s="59">
        <f>D111*1/(2*PI())*60</f>
        <v>0.22279159440190166</v>
      </c>
      <c r="E112" s="59">
        <f t="shared" ref="E112:G112" si="4">E111*1/(2*PI())*60</f>
        <v>0.27848949300237702</v>
      </c>
      <c r="F112" s="59">
        <f t="shared" si="4"/>
        <v>3.4992357178365676</v>
      </c>
      <c r="G112" s="60">
        <f t="shared" si="4"/>
        <v>4.37404464729571</v>
      </c>
    </row>
    <row r="113" spans="1:13" ht="15.75" thickBot="1" x14ac:dyDescent="0.3"/>
    <row r="114" spans="1:13" ht="30.75" thickBot="1" x14ac:dyDescent="0.3">
      <c r="B114" s="12" t="s">
        <v>86</v>
      </c>
      <c r="C114" s="140"/>
      <c r="D114" s="147" t="s">
        <v>75</v>
      </c>
      <c r="E114" s="147" t="s">
        <v>111</v>
      </c>
      <c r="F114" s="147" t="s">
        <v>76</v>
      </c>
      <c r="G114" s="148" t="s">
        <v>177</v>
      </c>
    </row>
    <row r="115" spans="1:13" ht="15.75" thickBot="1" x14ac:dyDescent="0.3">
      <c r="A115" s="38"/>
      <c r="B115" s="10"/>
      <c r="C115" s="145" t="s">
        <v>87</v>
      </c>
      <c r="D115" s="146">
        <f>D95/$F78</f>
        <v>5.7065677880893819</v>
      </c>
      <c r="E115" s="146">
        <f t="shared" ref="E115:G115" si="5">E95/$F78</f>
        <v>7.1332097351117278</v>
      </c>
      <c r="F115" s="146">
        <f t="shared" si="5"/>
        <v>6.5607264707413409</v>
      </c>
      <c r="G115" s="146">
        <f t="shared" si="5"/>
        <v>8.2009080884266758</v>
      </c>
      <c r="H115" s="10"/>
      <c r="I115" s="10"/>
      <c r="J115" s="10"/>
      <c r="K115" s="10"/>
      <c r="L115" s="10"/>
      <c r="M115" s="10"/>
    </row>
    <row r="116" spans="1:13" ht="22.5" thickTop="1" thickBot="1" x14ac:dyDescent="0.4">
      <c r="A116" s="68" t="s">
        <v>88</v>
      </c>
    </row>
    <row r="117" spans="1:13" ht="30" x14ac:dyDescent="0.25">
      <c r="B117" s="12" t="s">
        <v>91</v>
      </c>
      <c r="C117" s="74"/>
      <c r="D117" s="98" t="s">
        <v>75</v>
      </c>
      <c r="E117" s="98" t="s">
        <v>111</v>
      </c>
      <c r="F117" s="98" t="s">
        <v>76</v>
      </c>
      <c r="G117" s="125" t="s">
        <v>177</v>
      </c>
    </row>
    <row r="118" spans="1:13" x14ac:dyDescent="0.25">
      <c r="C118" s="58" t="s">
        <v>90</v>
      </c>
      <c r="D118" s="6">
        <f>$C5/2</f>
        <v>3.6</v>
      </c>
      <c r="E118" s="6">
        <f>$C5/2</f>
        <v>3.6</v>
      </c>
      <c r="F118" s="6">
        <f>$C5/2</f>
        <v>3.6</v>
      </c>
      <c r="G118" s="56">
        <f>$C5/2</f>
        <v>3.6</v>
      </c>
    </row>
    <row r="119" spans="1:13" ht="15.75" thickBot="1" x14ac:dyDescent="0.3">
      <c r="C119" s="126" t="s">
        <v>89</v>
      </c>
      <c r="D119" s="149">
        <f>D92/D118</f>
        <v>1.2820723121981036E-4</v>
      </c>
      <c r="E119" s="149">
        <f>E92/E118</f>
        <v>1.6025903902476297E-4</v>
      </c>
      <c r="F119" s="149">
        <f>F92/F118</f>
        <v>1.5180721684010324E-3</v>
      </c>
      <c r="G119" s="150">
        <f>G92/G118</f>
        <v>1.8975902105012902E-3</v>
      </c>
    </row>
    <row r="120" spans="1:13" ht="15.75" thickBot="1" x14ac:dyDescent="0.3"/>
    <row r="121" spans="1:13" ht="30" x14ac:dyDescent="0.25">
      <c r="B121" s="14" t="s">
        <v>92</v>
      </c>
      <c r="C121" s="74"/>
      <c r="D121" s="98" t="s">
        <v>75</v>
      </c>
      <c r="E121" s="98" t="s">
        <v>111</v>
      </c>
      <c r="F121" s="98" t="s">
        <v>76</v>
      </c>
      <c r="G121" s="125" t="s">
        <v>177</v>
      </c>
    </row>
    <row r="122" spans="1:13" x14ac:dyDescent="0.25">
      <c r="C122" s="58" t="s">
        <v>93</v>
      </c>
      <c r="D122" s="6">
        <v>90</v>
      </c>
      <c r="E122" s="6">
        <v>90</v>
      </c>
      <c r="F122" s="6">
        <v>90</v>
      </c>
      <c r="G122" s="56">
        <v>90</v>
      </c>
    </row>
    <row r="123" spans="1:13" x14ac:dyDescent="0.25">
      <c r="C123" s="58" t="s">
        <v>96</v>
      </c>
      <c r="D123" s="6">
        <v>450</v>
      </c>
      <c r="E123" s="6">
        <v>450</v>
      </c>
      <c r="F123" s="6">
        <v>450</v>
      </c>
      <c r="G123" s="6">
        <v>450</v>
      </c>
    </row>
    <row r="124" spans="1:13" ht="15.75" thickBot="1" x14ac:dyDescent="0.3">
      <c r="A124" s="110"/>
      <c r="C124" s="58" t="s">
        <v>94</v>
      </c>
      <c r="D124" s="6">
        <f>D122/D123</f>
        <v>0.2</v>
      </c>
      <c r="E124" s="6">
        <f t="shared" ref="E124:G124" si="6">E122/E123</f>
        <v>0.2</v>
      </c>
      <c r="F124" s="6">
        <f t="shared" si="6"/>
        <v>0.2</v>
      </c>
      <c r="G124" s="56">
        <f t="shared" si="6"/>
        <v>0.2</v>
      </c>
    </row>
    <row r="125" spans="1:13" ht="30.75" thickBot="1" x14ac:dyDescent="0.3">
      <c r="A125" s="111" t="s">
        <v>114</v>
      </c>
      <c r="C125" s="58" t="s">
        <v>95</v>
      </c>
      <c r="D125" s="16">
        <f>D124/(0.05*D123)</f>
        <v>8.8888888888888889E-3</v>
      </c>
      <c r="E125" s="16">
        <f t="shared" ref="E125:G125" si="7">E124/(0.05*E123)</f>
        <v>8.8888888888888889E-3</v>
      </c>
      <c r="F125" s="16">
        <f t="shared" si="7"/>
        <v>8.8888888888888889E-3</v>
      </c>
      <c r="G125" s="57">
        <f t="shared" si="7"/>
        <v>8.8888888888888889E-3</v>
      </c>
    </row>
    <row r="126" spans="1:13" ht="15.75" thickBot="1" x14ac:dyDescent="0.3">
      <c r="C126" s="153" t="s">
        <v>89</v>
      </c>
      <c r="D126" s="151">
        <f>$D11*D125/D118</f>
        <v>9.8209999999999997</v>
      </c>
      <c r="E126" s="151">
        <f>$D11*E125/E118</f>
        <v>9.8209999999999997</v>
      </c>
      <c r="F126" s="151">
        <f>$D11*F125/F118</f>
        <v>9.8209999999999997</v>
      </c>
      <c r="G126" s="152">
        <f>$D11*G125/G118</f>
        <v>9.8209999999999997</v>
      </c>
    </row>
    <row r="127" spans="1:13" ht="15.75" thickBot="1" x14ac:dyDescent="0.3"/>
    <row r="128" spans="1:13" ht="45" x14ac:dyDescent="0.25">
      <c r="B128" s="12" t="s">
        <v>97</v>
      </c>
      <c r="C128" s="74"/>
      <c r="D128" s="98" t="s">
        <v>75</v>
      </c>
      <c r="E128" s="98" t="s">
        <v>111</v>
      </c>
      <c r="F128" s="98" t="s">
        <v>76</v>
      </c>
      <c r="G128" s="125" t="s">
        <v>177</v>
      </c>
    </row>
    <row r="129" spans="1:7" ht="30" x14ac:dyDescent="0.25">
      <c r="C129" s="121" t="s">
        <v>98</v>
      </c>
      <c r="D129" s="6">
        <v>0.1</v>
      </c>
      <c r="E129" s="6">
        <v>0.1</v>
      </c>
      <c r="F129" s="6">
        <v>0.1</v>
      </c>
      <c r="G129" s="56">
        <v>0.1</v>
      </c>
    </row>
    <row r="130" spans="1:7" x14ac:dyDescent="0.25">
      <c r="C130" s="58" t="s">
        <v>93</v>
      </c>
      <c r="D130" s="6">
        <v>90</v>
      </c>
      <c r="E130" s="6">
        <v>90</v>
      </c>
      <c r="F130" s="6">
        <v>90</v>
      </c>
      <c r="G130" s="56">
        <v>90</v>
      </c>
    </row>
    <row r="131" spans="1:7" x14ac:dyDescent="0.25">
      <c r="C131" s="58" t="s">
        <v>99</v>
      </c>
      <c r="D131" s="16">
        <f>D108</f>
        <v>92.797901160157934</v>
      </c>
      <c r="E131" s="16">
        <f t="shared" ref="E131:G131" si="8">E108</f>
        <v>115.99737645019741</v>
      </c>
      <c r="F131" s="16">
        <f t="shared" si="8"/>
        <v>1457.5133821885358</v>
      </c>
      <c r="G131" s="57">
        <f t="shared" si="8"/>
        <v>1821.8917277356697</v>
      </c>
    </row>
    <row r="132" spans="1:7" x14ac:dyDescent="0.25">
      <c r="C132" s="58" t="s">
        <v>482</v>
      </c>
      <c r="D132" s="6">
        <v>10</v>
      </c>
      <c r="E132" s="6">
        <v>10</v>
      </c>
      <c r="F132" s="6">
        <v>10</v>
      </c>
      <c r="G132" s="6">
        <v>10</v>
      </c>
    </row>
    <row r="133" spans="1:7" ht="15.75" thickBot="1" x14ac:dyDescent="0.3">
      <c r="C133" s="153" t="s">
        <v>100</v>
      </c>
      <c r="D133" s="151">
        <f>D131*D130/(D132*60)*PI()/180/D118/D129</f>
        <v>0.67484538091042556</v>
      </c>
      <c r="E133" s="151">
        <f t="shared" ref="E133:G133" si="9">E131*E130/(E132*60)*PI()/180/E118/E129</f>
        <v>0.84355672613803223</v>
      </c>
      <c r="F133" s="151">
        <f t="shared" si="9"/>
        <v>10.599336421278508</v>
      </c>
      <c r="G133" s="152">
        <f t="shared" si="9"/>
        <v>13.249170526598137</v>
      </c>
    </row>
    <row r="134" spans="1:7" ht="15.75" thickBot="1" x14ac:dyDescent="0.3"/>
    <row r="135" spans="1:7" ht="15.75" thickBot="1" x14ac:dyDescent="0.3">
      <c r="B135" s="1" t="s">
        <v>101</v>
      </c>
      <c r="C135" s="74"/>
      <c r="D135" s="98" t="s">
        <v>75</v>
      </c>
      <c r="E135" s="98" t="s">
        <v>111</v>
      </c>
      <c r="F135" s="98" t="s">
        <v>76</v>
      </c>
      <c r="G135" s="125" t="s">
        <v>177</v>
      </c>
    </row>
    <row r="136" spans="1:7" x14ac:dyDescent="0.25">
      <c r="A136" s="69" t="s">
        <v>102</v>
      </c>
      <c r="C136" s="58" t="s">
        <v>441</v>
      </c>
      <c r="D136" s="6">
        <v>3</v>
      </c>
      <c r="E136" s="6">
        <v>3</v>
      </c>
      <c r="F136" s="6">
        <v>3</v>
      </c>
      <c r="G136" s="56">
        <v>3</v>
      </c>
    </row>
    <row r="137" spans="1:7" ht="30" x14ac:dyDescent="0.25">
      <c r="A137" s="70" t="s">
        <v>103</v>
      </c>
      <c r="C137" s="58" t="s">
        <v>106</v>
      </c>
      <c r="D137" s="6">
        <v>4</v>
      </c>
      <c r="E137" s="6">
        <v>4</v>
      </c>
      <c r="F137" s="6">
        <v>4</v>
      </c>
      <c r="G137" s="56">
        <v>4</v>
      </c>
    </row>
    <row r="138" spans="1:7" ht="30.75" thickBot="1" x14ac:dyDescent="0.3">
      <c r="A138" s="71" t="s">
        <v>104</v>
      </c>
      <c r="C138" s="126" t="s">
        <v>105</v>
      </c>
      <c r="D138" s="59">
        <f>D136*2*12*$G2+1*D137*365*$G2</f>
        <v>7660</v>
      </c>
      <c r="E138" s="59">
        <f>E136*2*12*$G2+1*E137*365*$G2</f>
        <v>7660</v>
      </c>
      <c r="F138" s="59">
        <f>F136*2*12*$G2+1*F137*365*$G2</f>
        <v>7660</v>
      </c>
      <c r="G138" s="60">
        <f>G136*2*12*$G2+1*G137*365*$G2</f>
        <v>7660</v>
      </c>
    </row>
    <row r="139" spans="1:7" ht="15.75" thickBot="1" x14ac:dyDescent="0.3"/>
    <row r="140" spans="1:7" ht="30" x14ac:dyDescent="0.25">
      <c r="B140" s="12" t="s">
        <v>107</v>
      </c>
      <c r="C140" s="74"/>
      <c r="D140" s="98" t="s">
        <v>75</v>
      </c>
      <c r="E140" s="98" t="s">
        <v>111</v>
      </c>
      <c r="F140" s="98" t="s">
        <v>76</v>
      </c>
      <c r="G140" s="125" t="s">
        <v>177</v>
      </c>
    </row>
    <row r="141" spans="1:7" x14ac:dyDescent="0.25">
      <c r="C141" s="58" t="s">
        <v>108</v>
      </c>
      <c r="D141" s="6">
        <v>5</v>
      </c>
      <c r="E141" s="6">
        <v>5</v>
      </c>
      <c r="F141" s="6">
        <v>5</v>
      </c>
      <c r="G141" s="6">
        <v>5</v>
      </c>
    </row>
    <row r="142" spans="1:7" ht="15.75" thickBot="1" x14ac:dyDescent="0.3">
      <c r="C142" s="153" t="s">
        <v>89</v>
      </c>
      <c r="D142" s="151">
        <f>D104/D118/D141</f>
        <v>0.3888888888888889</v>
      </c>
      <c r="E142" s="151">
        <f t="shared" ref="E142:G142" si="10">E104/E118/E141</f>
        <v>4.2777777777777777</v>
      </c>
      <c r="F142" s="151">
        <f t="shared" si="10"/>
        <v>2.7222222222222223</v>
      </c>
      <c r="G142" s="152">
        <f t="shared" si="10"/>
        <v>3.1666666666666665</v>
      </c>
    </row>
    <row r="143" spans="1:7" ht="15.75" thickBot="1" x14ac:dyDescent="0.3"/>
    <row r="144" spans="1:7" ht="15.75" thickBot="1" x14ac:dyDescent="0.3">
      <c r="B144" s="1" t="s">
        <v>120</v>
      </c>
      <c r="C144" s="74"/>
      <c r="D144" s="98" t="s">
        <v>75</v>
      </c>
      <c r="E144" s="98" t="s">
        <v>111</v>
      </c>
      <c r="F144" s="98" t="s">
        <v>76</v>
      </c>
      <c r="G144" s="125" t="s">
        <v>177</v>
      </c>
    </row>
    <row r="145" spans="1:7" x14ac:dyDescent="0.25">
      <c r="A145" s="69" t="s">
        <v>102</v>
      </c>
      <c r="C145" s="58" t="s">
        <v>115</v>
      </c>
      <c r="D145" s="6">
        <f>2*D136*12*$G2</f>
        <v>360</v>
      </c>
      <c r="E145" s="6">
        <f>2*E136*12*$G2</f>
        <v>360</v>
      </c>
      <c r="F145" s="6">
        <f>2*F136*12*$G2</f>
        <v>360</v>
      </c>
      <c r="G145" s="56">
        <f>2*G136*12*$G2</f>
        <v>360</v>
      </c>
    </row>
    <row r="146" spans="1:7" x14ac:dyDescent="0.25">
      <c r="A146" s="72" t="s">
        <v>112</v>
      </c>
      <c r="C146" s="58" t="s">
        <v>119</v>
      </c>
      <c r="D146" s="6">
        <v>7300</v>
      </c>
      <c r="E146" s="6">
        <v>7300</v>
      </c>
      <c r="F146" s="6">
        <v>7300</v>
      </c>
      <c r="G146" s="6">
        <v>7300</v>
      </c>
    </row>
    <row r="147" spans="1:7" ht="15.75" thickBot="1" x14ac:dyDescent="0.3">
      <c r="A147" s="73" t="s">
        <v>113</v>
      </c>
      <c r="C147" s="58" t="s">
        <v>117</v>
      </c>
      <c r="D147" s="6">
        <v>3</v>
      </c>
      <c r="E147" s="6">
        <v>3</v>
      </c>
      <c r="F147" s="6">
        <v>3</v>
      </c>
      <c r="G147" s="56">
        <v>3</v>
      </c>
    </row>
    <row r="148" spans="1:7" x14ac:dyDescent="0.25">
      <c r="C148" s="58" t="s">
        <v>118</v>
      </c>
      <c r="D148" s="6">
        <v>1</v>
      </c>
      <c r="E148" s="6">
        <v>1</v>
      </c>
      <c r="F148" s="6">
        <v>1</v>
      </c>
      <c r="G148" s="56">
        <v>1</v>
      </c>
    </row>
    <row r="149" spans="1:7" s="18" customFormat="1" x14ac:dyDescent="0.25">
      <c r="C149" s="58" t="s">
        <v>184</v>
      </c>
      <c r="D149" s="6">
        <f>D145*D147+D146*D148</f>
        <v>8380</v>
      </c>
      <c r="E149" s="6">
        <f t="shared" ref="E149:G149" si="11">E145*E147+E146*E148</f>
        <v>8380</v>
      </c>
      <c r="F149" s="6">
        <f t="shared" si="11"/>
        <v>8380</v>
      </c>
      <c r="G149" s="56">
        <f t="shared" si="11"/>
        <v>8380</v>
      </c>
    </row>
    <row r="150" spans="1:7" ht="15.75" thickBot="1" x14ac:dyDescent="0.3">
      <c r="C150" s="126" t="s">
        <v>116</v>
      </c>
      <c r="D150" s="127">
        <f>D145*D147*D133+D146*D148*D142</f>
        <v>3567.7219002721486</v>
      </c>
      <c r="E150" s="127">
        <f t="shared" ref="E150:G150" si="12">E145*E147*E133+E146*E148*E142</f>
        <v>32138.819042006853</v>
      </c>
      <c r="F150" s="127">
        <f t="shared" si="12"/>
        <v>31319.505557203011</v>
      </c>
      <c r="G150" s="154">
        <f t="shared" si="12"/>
        <v>37425.77083539265</v>
      </c>
    </row>
    <row r="151" spans="1:7" ht="15.75" thickBot="1" x14ac:dyDescent="0.3">
      <c r="C151" s="155"/>
      <c r="D151" s="155"/>
      <c r="E151" s="49"/>
      <c r="F151" s="42"/>
      <c r="G151" s="42"/>
    </row>
    <row r="152" spans="1:7" x14ac:dyDescent="0.25">
      <c r="C152" s="182" t="s">
        <v>160</v>
      </c>
      <c r="D152" s="189" t="s">
        <v>164</v>
      </c>
      <c r="E152" s="190" t="s">
        <v>165</v>
      </c>
      <c r="F152" s="42"/>
      <c r="G152" s="42"/>
    </row>
    <row r="153" spans="1:7" x14ac:dyDescent="0.25">
      <c r="C153" s="191" t="s">
        <v>161</v>
      </c>
      <c r="D153" s="13" t="s">
        <v>135</v>
      </c>
      <c r="E153" s="81">
        <f>'Gas Data'!F4</f>
        <v>78.933000000000007</v>
      </c>
      <c r="F153" s="42"/>
      <c r="G153" s="42"/>
    </row>
    <row r="154" spans="1:7" x14ac:dyDescent="0.25">
      <c r="C154" s="191"/>
      <c r="D154" s="13" t="s">
        <v>137</v>
      </c>
      <c r="E154" s="81">
        <f>'Gas Data'!F5</f>
        <v>57.030999999999999</v>
      </c>
      <c r="F154" s="42"/>
      <c r="G154" s="42"/>
    </row>
    <row r="155" spans="1:7" x14ac:dyDescent="0.25">
      <c r="C155" s="191"/>
      <c r="D155" s="13" t="s">
        <v>139</v>
      </c>
      <c r="E155" s="81">
        <f>'Gas Data'!F6</f>
        <v>72.384</v>
      </c>
      <c r="F155" s="42"/>
      <c r="G155" s="42"/>
    </row>
    <row r="156" spans="1:7" x14ac:dyDescent="0.25">
      <c r="C156" s="191"/>
      <c r="D156" s="13" t="s">
        <v>140</v>
      </c>
      <c r="E156" s="81">
        <f>'Gas Data'!F7</f>
        <v>180.12100000000001</v>
      </c>
      <c r="F156" s="42"/>
      <c r="G156" s="42"/>
    </row>
    <row r="157" spans="1:7" x14ac:dyDescent="0.25">
      <c r="C157" s="191"/>
      <c r="D157" s="13" t="s">
        <v>141</v>
      </c>
      <c r="E157" s="81">
        <f>'Gas Data'!F8</f>
        <v>297.86599999999999</v>
      </c>
      <c r="F157" s="42"/>
      <c r="G157" s="42"/>
    </row>
    <row r="158" spans="1:7" x14ac:dyDescent="0.25">
      <c r="C158" s="191"/>
      <c r="D158" s="13" t="s">
        <v>142</v>
      </c>
      <c r="E158" s="81">
        <f>'Gas Data'!F9</f>
        <v>80.260999999999996</v>
      </c>
      <c r="F158" s="42"/>
      <c r="G158" s="42"/>
    </row>
    <row r="159" spans="1:7" x14ac:dyDescent="0.25">
      <c r="C159" s="191"/>
      <c r="D159" s="13" t="s">
        <v>143</v>
      </c>
      <c r="E159" s="81">
        <f>'Gas Data'!F10</f>
        <v>75.433999999999997</v>
      </c>
      <c r="F159" s="42"/>
      <c r="G159" s="42"/>
    </row>
    <row r="160" spans="1:7" x14ac:dyDescent="0.25">
      <c r="C160" s="191"/>
      <c r="D160" s="13" t="s">
        <v>144</v>
      </c>
      <c r="E160" s="81">
        <f>'Gas Data'!F11</f>
        <v>101.5</v>
      </c>
      <c r="F160" s="42"/>
      <c r="G160" s="42"/>
    </row>
    <row r="161" spans="2:9" ht="15.75" thickBot="1" x14ac:dyDescent="0.3">
      <c r="C161" s="193"/>
      <c r="D161" s="83" t="s">
        <v>145</v>
      </c>
      <c r="E161" s="84">
        <f>'Gas Data'!F12</f>
        <v>104.55</v>
      </c>
      <c r="F161" s="42"/>
      <c r="G161" s="42"/>
    </row>
    <row r="162" spans="2:9" ht="30" x14ac:dyDescent="0.25">
      <c r="C162" s="208" t="s">
        <v>162</v>
      </c>
      <c r="D162" s="209" t="s">
        <v>442</v>
      </c>
      <c r="E162" s="79">
        <v>847</v>
      </c>
      <c r="F162" s="42"/>
      <c r="G162" s="42"/>
    </row>
    <row r="163" spans="2:9" ht="30.75" thickBot="1" x14ac:dyDescent="0.3">
      <c r="C163" s="210"/>
      <c r="D163" s="211" t="s">
        <v>443</v>
      </c>
      <c r="E163" s="212">
        <v>2585</v>
      </c>
      <c r="F163" s="42"/>
      <c r="G163" s="42"/>
    </row>
    <row r="164" spans="2:9" s="35" customFormat="1" x14ac:dyDescent="0.25">
      <c r="C164" s="182" t="s">
        <v>160</v>
      </c>
      <c r="D164" s="189" t="s">
        <v>164</v>
      </c>
      <c r="E164" s="190" t="s">
        <v>165</v>
      </c>
      <c r="F164" s="42"/>
      <c r="G164" s="42"/>
    </row>
    <row r="165" spans="2:9" x14ac:dyDescent="0.25">
      <c r="C165" s="191" t="s">
        <v>163</v>
      </c>
      <c r="D165" s="21" t="s">
        <v>166</v>
      </c>
      <c r="E165" s="56">
        <f>'ADN Prop Data'!B3</f>
        <v>247</v>
      </c>
      <c r="F165" s="42"/>
      <c r="G165" s="42"/>
    </row>
    <row r="166" spans="2:9" x14ac:dyDescent="0.25">
      <c r="C166" s="180"/>
      <c r="D166" s="15" t="s">
        <v>167</v>
      </c>
      <c r="E166" s="56">
        <f>'ADN Prop Data'!B4</f>
        <v>218</v>
      </c>
      <c r="F166" s="42"/>
      <c r="G166" s="42"/>
    </row>
    <row r="167" spans="2:9" x14ac:dyDescent="0.25">
      <c r="C167" s="180"/>
      <c r="D167" s="15" t="s">
        <v>168</v>
      </c>
      <c r="E167" s="56">
        <f>'ADN Prop Data'!B5</f>
        <v>257</v>
      </c>
      <c r="F167" s="42"/>
      <c r="G167" s="42"/>
    </row>
    <row r="168" spans="2:9" ht="45" x14ac:dyDescent="0.25">
      <c r="C168" s="180"/>
      <c r="D168" s="15" t="s">
        <v>170</v>
      </c>
      <c r="E168" s="56">
        <f>'ADN Prop Data'!B6</f>
        <v>253</v>
      </c>
      <c r="F168" s="42"/>
      <c r="G168" s="42"/>
    </row>
    <row r="169" spans="2:9" ht="45" x14ac:dyDescent="0.25">
      <c r="C169" s="180"/>
      <c r="D169" s="15" t="s">
        <v>489</v>
      </c>
      <c r="E169" s="56">
        <f>'ADN Prop Data'!B7</f>
        <v>239</v>
      </c>
      <c r="F169" s="42"/>
      <c r="G169" s="42"/>
    </row>
    <row r="170" spans="2:9" ht="30" x14ac:dyDescent="0.25">
      <c r="C170" s="180"/>
      <c r="D170" s="15" t="s">
        <v>171</v>
      </c>
      <c r="E170" s="56">
        <f>'ADN Prop Data'!B8</f>
        <v>204</v>
      </c>
      <c r="F170" s="42"/>
      <c r="G170" s="42"/>
    </row>
    <row r="171" spans="2:9" ht="30.75" thickBot="1" x14ac:dyDescent="0.3">
      <c r="C171" s="181"/>
      <c r="D171" s="156" t="s">
        <v>172</v>
      </c>
      <c r="E171" s="60">
        <f>'ADN Prop Data'!B9</f>
        <v>238</v>
      </c>
      <c r="F171" s="42"/>
      <c r="G171" s="42"/>
    </row>
    <row r="172" spans="2:9" ht="15.75" thickBot="1" x14ac:dyDescent="0.3"/>
    <row r="173" spans="2:9" ht="63" x14ac:dyDescent="0.35">
      <c r="B173" s="20"/>
      <c r="C173" s="200"/>
      <c r="D173" s="183"/>
      <c r="E173" s="183"/>
      <c r="F173" s="215" t="s">
        <v>110</v>
      </c>
      <c r="G173" s="215" t="s">
        <v>348</v>
      </c>
      <c r="H173" s="189" t="s">
        <v>349</v>
      </c>
      <c r="I173" s="216" t="s">
        <v>347</v>
      </c>
    </row>
    <row r="174" spans="2:9" x14ac:dyDescent="0.25">
      <c r="C174" s="191" t="s">
        <v>75</v>
      </c>
      <c r="D174" s="7" t="s">
        <v>161</v>
      </c>
      <c r="E174" s="92" t="s">
        <v>135</v>
      </c>
      <c r="F174" s="16">
        <f>$D$150/E153/$J$5</f>
        <v>4.6074791391965935</v>
      </c>
      <c r="G174" s="117">
        <f>F174+'LV Accuracies'!F71</f>
        <v>4.6804045885521264</v>
      </c>
      <c r="H174" s="5">
        <v>0.05</v>
      </c>
      <c r="I174" s="57">
        <f>H174*G174+G174</f>
        <v>4.9144248179797323</v>
      </c>
    </row>
    <row r="175" spans="2:9" x14ac:dyDescent="0.25">
      <c r="C175" s="180"/>
      <c r="D175" s="7"/>
      <c r="E175" s="92" t="s">
        <v>137</v>
      </c>
      <c r="F175" s="16">
        <f>$D$150/E154/$J$5</f>
        <v>6.3769204624538363</v>
      </c>
      <c r="G175" s="117">
        <f>F175+'LV Accuracies'!F72</f>
        <v>6.4796491675274792</v>
      </c>
      <c r="H175" s="5">
        <v>0.05</v>
      </c>
      <c r="I175" s="57">
        <f t="shared" ref="I175:I238" si="13">H175*G175+G175</f>
        <v>6.8036316259038534</v>
      </c>
    </row>
    <row r="176" spans="2:9" x14ac:dyDescent="0.25">
      <c r="C176" s="180"/>
      <c r="D176" s="7"/>
      <c r="E176" s="92" t="s">
        <v>139</v>
      </c>
      <c r="F176" s="16">
        <f>$D$150/E155/$J$5</f>
        <v>5.0243444807444284</v>
      </c>
      <c r="G176" s="117">
        <f>F176+'LV Accuracies'!F73</f>
        <v>5.1041985504955267</v>
      </c>
      <c r="H176" s="5">
        <v>0.05</v>
      </c>
      <c r="I176" s="57">
        <f t="shared" si="13"/>
        <v>5.3594084780203026</v>
      </c>
    </row>
    <row r="177" spans="3:9" x14ac:dyDescent="0.25">
      <c r="C177" s="180"/>
      <c r="D177" s="7"/>
      <c r="E177" s="92" t="s">
        <v>140</v>
      </c>
      <c r="F177" s="16">
        <f>$D$150/E156/$J$5</f>
        <v>2.0190991105657012</v>
      </c>
      <c r="G177" s="117">
        <f>F177+'LV Accuracies'!F74</f>
        <v>2.0502477502032881</v>
      </c>
      <c r="H177" s="5">
        <v>0.05</v>
      </c>
      <c r="I177" s="57">
        <f t="shared" si="13"/>
        <v>2.1527601377134524</v>
      </c>
    </row>
    <row r="178" spans="3:9" x14ac:dyDescent="0.25">
      <c r="C178" s="180"/>
      <c r="D178" s="7"/>
      <c r="E178" s="92" t="s">
        <v>141</v>
      </c>
      <c r="F178" s="16">
        <f>$D$150/E157/$J$5</f>
        <v>1.220958924127644</v>
      </c>
      <c r="G178" s="117">
        <f>F178+'LV Accuracies'!F75</f>
        <v>1.2396471454208993</v>
      </c>
      <c r="H178" s="5">
        <v>0.05</v>
      </c>
      <c r="I178" s="217">
        <f t="shared" si="13"/>
        <v>1.3016295026919442</v>
      </c>
    </row>
    <row r="179" spans="3:9" x14ac:dyDescent="0.25">
      <c r="C179" s="180"/>
      <c r="D179" s="7"/>
      <c r="E179" s="92" t="s">
        <v>142</v>
      </c>
      <c r="F179" s="16">
        <f>$D$150/E158/$J$5</f>
        <v>4.5312437035945816</v>
      </c>
      <c r="G179" s="117">
        <f>F179+'LV Accuracies'!F76</f>
        <v>4.6029081727673029</v>
      </c>
      <c r="H179" s="5">
        <v>0.05</v>
      </c>
      <c r="I179" s="57">
        <f t="shared" si="13"/>
        <v>4.8330535814056681</v>
      </c>
    </row>
    <row r="180" spans="3:9" x14ac:dyDescent="0.25">
      <c r="C180" s="180"/>
      <c r="D180" s="7"/>
      <c r="E180" s="92" t="s">
        <v>143</v>
      </c>
      <c r="F180" s="16">
        <f>$D$150/E159/$J$5</f>
        <v>4.8211966870934155</v>
      </c>
      <c r="G180" s="117">
        <f>F180+'LV Accuracies'!F77</f>
        <v>4.8976672141361641</v>
      </c>
      <c r="H180" s="5">
        <v>0.05</v>
      </c>
      <c r="I180" s="57">
        <f t="shared" si="13"/>
        <v>5.1425505748429723</v>
      </c>
    </row>
    <row r="181" spans="3:9" x14ac:dyDescent="0.25">
      <c r="C181" s="180"/>
      <c r="D181" s="7"/>
      <c r="E181" s="92" t="s">
        <v>144</v>
      </c>
      <c r="F181" s="16">
        <f>$D$150/E160/$J$5</f>
        <v>3.5830753782680267</v>
      </c>
      <c r="G181" s="117">
        <f>F181+'LV Accuracies'!F78</f>
        <v>3.6392129894610914</v>
      </c>
      <c r="H181" s="5">
        <v>0.05</v>
      </c>
      <c r="I181" s="57">
        <f t="shared" si="13"/>
        <v>3.821173638934146</v>
      </c>
    </row>
    <row r="182" spans="3:9" x14ac:dyDescent="0.25">
      <c r="C182" s="180"/>
      <c r="D182" s="7"/>
      <c r="E182" s="92" t="s">
        <v>145</v>
      </c>
      <c r="F182" s="16">
        <f>$D$150/E161/$J$5</f>
        <v>3.4785475934405046</v>
      </c>
      <c r="G182" s="117">
        <f>F182+'LV Accuracies'!F79</f>
        <v>3.5329910858181353</v>
      </c>
      <c r="H182" s="5">
        <v>0.05</v>
      </c>
      <c r="I182" s="57">
        <f t="shared" si="13"/>
        <v>3.709640640109042</v>
      </c>
    </row>
    <row r="183" spans="3:9" ht="30" x14ac:dyDescent="0.25">
      <c r="C183" s="180"/>
      <c r="D183" s="7" t="s">
        <v>162</v>
      </c>
      <c r="E183" s="219" t="s">
        <v>442</v>
      </c>
      <c r="F183" s="16">
        <f>$D$150/E162/$J$5</f>
        <v>0.42937680152798674</v>
      </c>
      <c r="G183" s="117">
        <f>F183+'LV Accuracies'!F80</f>
        <v>0.43589800514125615</v>
      </c>
      <c r="H183" s="5">
        <v>0.05</v>
      </c>
      <c r="I183" s="57">
        <f t="shared" si="13"/>
        <v>0.45769290539831897</v>
      </c>
    </row>
    <row r="184" spans="3:9" ht="30" x14ac:dyDescent="0.25">
      <c r="C184" s="180"/>
      <c r="D184" s="7"/>
      <c r="E184" s="219" t="s">
        <v>443</v>
      </c>
      <c r="F184" s="16">
        <f>$D$150/E163/$J$5</f>
        <v>0.14068942007512755</v>
      </c>
      <c r="G184" s="117">
        <f>F184+'LV Accuracies'!F81</f>
        <v>0.14282011339183848</v>
      </c>
      <c r="H184" s="5">
        <v>0.05</v>
      </c>
      <c r="I184" s="57">
        <f t="shared" si="13"/>
        <v>0.14996111906143039</v>
      </c>
    </row>
    <row r="185" spans="3:9" x14ac:dyDescent="0.25">
      <c r="C185" s="180"/>
      <c r="D185" s="7" t="s">
        <v>163</v>
      </c>
      <c r="E185" s="219" t="s">
        <v>166</v>
      </c>
      <c r="F185" s="16">
        <f t="shared" ref="F185:F191" si="14">$D$150/E165/$J$5</f>
        <v>1.4723973720413148</v>
      </c>
      <c r="G185" s="117">
        <f>F185+'LV Accuracies'!F82</f>
        <v>1.4949899960354598</v>
      </c>
      <c r="H185" s="5">
        <v>0.05</v>
      </c>
      <c r="I185" s="57">
        <f t="shared" si="13"/>
        <v>1.5697394958372328</v>
      </c>
    </row>
    <row r="186" spans="3:9" x14ac:dyDescent="0.25">
      <c r="C186" s="180"/>
      <c r="D186" s="7"/>
      <c r="E186" s="43" t="s">
        <v>167</v>
      </c>
      <c r="F186" s="16">
        <f t="shared" si="14"/>
        <v>1.6682667472211226</v>
      </c>
      <c r="G186" s="117">
        <f>F186+'LV Accuracies'!F83</f>
        <v>1.6939142419819533</v>
      </c>
      <c r="H186" s="5">
        <v>0.05</v>
      </c>
      <c r="I186" s="57">
        <f t="shared" si="13"/>
        <v>1.7786099540810509</v>
      </c>
    </row>
    <row r="187" spans="3:9" x14ac:dyDescent="0.25">
      <c r="C187" s="180"/>
      <c r="D187" s="7"/>
      <c r="E187" s="43" t="s">
        <v>168</v>
      </c>
      <c r="F187" s="16">
        <f t="shared" si="14"/>
        <v>1.4151056455027422</v>
      </c>
      <c r="G187" s="117">
        <f>F187+'LV Accuracies'!F84</f>
        <v>1.4368069351942343</v>
      </c>
      <c r="H187" s="5">
        <v>0.05</v>
      </c>
      <c r="I187" s="57">
        <f t="shared" si="13"/>
        <v>1.508647281953946</v>
      </c>
    </row>
    <row r="188" spans="3:9" ht="30" x14ac:dyDescent="0.25">
      <c r="C188" s="180"/>
      <c r="D188" s="7"/>
      <c r="E188" s="43" t="s">
        <v>170</v>
      </c>
      <c r="F188" s="16">
        <f t="shared" si="14"/>
        <v>1.4374788572893469</v>
      </c>
      <c r="G188" s="117">
        <f>F188+'LV Accuracies'!F85</f>
        <v>1.4595281062624914</v>
      </c>
      <c r="H188" s="5">
        <v>0.05</v>
      </c>
      <c r="I188" s="57">
        <f t="shared" si="13"/>
        <v>1.532504511575616</v>
      </c>
    </row>
    <row r="189" spans="3:9" ht="30" x14ac:dyDescent="0.25">
      <c r="C189" s="180"/>
      <c r="D189" s="7"/>
      <c r="E189" s="43" t="s">
        <v>489</v>
      </c>
      <c r="F189" s="16">
        <f t="shared" si="14"/>
        <v>1.5216826397247061</v>
      </c>
      <c r="G189" s="117">
        <f>F189+'LV Accuracies'!F86</f>
        <v>1.5450428361578474</v>
      </c>
      <c r="H189" s="5">
        <v>0.05</v>
      </c>
      <c r="I189" s="57">
        <f t="shared" si="13"/>
        <v>1.6222949779657398</v>
      </c>
    </row>
    <row r="190" spans="3:9" ht="30" x14ac:dyDescent="0.25">
      <c r="C190" s="180"/>
      <c r="D190" s="7"/>
      <c r="E190" s="43" t="s">
        <v>171</v>
      </c>
      <c r="F190" s="16">
        <f t="shared" si="14"/>
        <v>1.7827556416382586</v>
      </c>
      <c r="G190" s="117">
        <f>F190+'LV Accuracies'!F87</f>
        <v>1.8101941968704396</v>
      </c>
      <c r="H190" s="5">
        <v>0.05</v>
      </c>
      <c r="I190" s="57">
        <f t="shared" si="13"/>
        <v>1.9007039067139615</v>
      </c>
    </row>
    <row r="191" spans="3:9" ht="30" x14ac:dyDescent="0.25">
      <c r="C191" s="180"/>
      <c r="D191" s="7"/>
      <c r="E191" s="43" t="s">
        <v>172</v>
      </c>
      <c r="F191" s="16">
        <f t="shared" si="14"/>
        <v>1.5280762642613643</v>
      </c>
      <c r="G191" s="117">
        <f>F191+'LV Accuracies'!F88</f>
        <v>1.5515360898184649</v>
      </c>
      <c r="H191" s="5">
        <v>0.05</v>
      </c>
      <c r="I191" s="57">
        <f t="shared" si="13"/>
        <v>1.6291128943093882</v>
      </c>
    </row>
    <row r="192" spans="3:9" x14ac:dyDescent="0.25">
      <c r="C192" s="191" t="s">
        <v>176</v>
      </c>
      <c r="D192" s="7" t="s">
        <v>161</v>
      </c>
      <c r="E192" s="92" t="s">
        <v>135</v>
      </c>
      <c r="F192" s="16">
        <f>$E$150/E153/$J$5</f>
        <v>41.505179617045052</v>
      </c>
      <c r="G192" s="16">
        <f>F192+'LV Accuracies'!F71</f>
        <v>41.578105066400582</v>
      </c>
      <c r="H192" s="5">
        <v>0.05</v>
      </c>
      <c r="I192" s="57">
        <f t="shared" si="13"/>
        <v>43.657010319720612</v>
      </c>
    </row>
    <row r="193" spans="3:9" x14ac:dyDescent="0.25">
      <c r="C193" s="180"/>
      <c r="D193" s="7"/>
      <c r="E193" s="92" t="s">
        <v>137</v>
      </c>
      <c r="F193" s="16">
        <f>$E$150/E154/$J$5</f>
        <v>57.444693985941285</v>
      </c>
      <c r="G193" s="16">
        <f>F193+'LV Accuracies'!F72</f>
        <v>57.54742269101493</v>
      </c>
      <c r="H193" s="5">
        <v>0.05</v>
      </c>
      <c r="I193" s="57">
        <f t="shared" si="13"/>
        <v>60.424793825565679</v>
      </c>
    </row>
    <row r="194" spans="3:9" x14ac:dyDescent="0.25">
      <c r="C194" s="180"/>
      <c r="D194" s="7"/>
      <c r="E194" s="92" t="s">
        <v>139</v>
      </c>
      <c r="F194" s="16">
        <f>$E$150/E155/$J$5</f>
        <v>45.260393770891596</v>
      </c>
      <c r="G194" s="16">
        <f>F194+'LV Accuracies'!F73</f>
        <v>45.340247840642697</v>
      </c>
      <c r="H194" s="5">
        <v>0.05</v>
      </c>
      <c r="I194" s="57">
        <f t="shared" si="13"/>
        <v>47.607260232674832</v>
      </c>
    </row>
    <row r="195" spans="3:9" x14ac:dyDescent="0.25">
      <c r="C195" s="180"/>
      <c r="D195" s="7"/>
      <c r="E195" s="92" t="s">
        <v>140</v>
      </c>
      <c r="F195" s="16">
        <f>$E$150/E156/$J$5</f>
        <v>18.18848631038145</v>
      </c>
      <c r="G195" s="16">
        <f>F195+'LV Accuracies'!F74</f>
        <v>18.219634950019035</v>
      </c>
      <c r="H195" s="5">
        <v>0.05</v>
      </c>
      <c r="I195" s="57">
        <f t="shared" si="13"/>
        <v>19.130616697519987</v>
      </c>
    </row>
    <row r="196" spans="3:9" x14ac:dyDescent="0.25">
      <c r="C196" s="180"/>
      <c r="D196" s="7"/>
      <c r="E196" s="92" t="s">
        <v>141</v>
      </c>
      <c r="F196" s="16">
        <f>$E$150/E157/$J$5</f>
        <v>10.998664979259859</v>
      </c>
      <c r="G196" s="16">
        <f>F196+'LV Accuracies'!F75</f>
        <v>11.017353200553114</v>
      </c>
      <c r="H196" s="5">
        <v>0.05</v>
      </c>
      <c r="I196" s="57">
        <f t="shared" si="13"/>
        <v>11.568220860580769</v>
      </c>
    </row>
    <row r="197" spans="3:9" x14ac:dyDescent="0.25">
      <c r="C197" s="180"/>
      <c r="D197" s="7"/>
      <c r="E197" s="92" t="s">
        <v>142</v>
      </c>
      <c r="F197" s="16">
        <f>$E$150/E158/$J$5</f>
        <v>40.818434142512771</v>
      </c>
      <c r="G197" s="16">
        <f>F197+'LV Accuracies'!F76</f>
        <v>40.890098611685495</v>
      </c>
      <c r="H197" s="5">
        <v>0.05</v>
      </c>
      <c r="I197" s="57">
        <f t="shared" si="13"/>
        <v>42.93460354226977</v>
      </c>
    </row>
    <row r="198" spans="3:9" x14ac:dyDescent="0.25">
      <c r="C198" s="180"/>
      <c r="D198" s="7"/>
      <c r="E198" s="92" t="s">
        <v>143</v>
      </c>
      <c r="F198" s="16">
        <f>$E$150/E159/$J$5</f>
        <v>43.430394022751244</v>
      </c>
      <c r="G198" s="16">
        <f>F198+'LV Accuracies'!F77</f>
        <v>43.506864549793995</v>
      </c>
      <c r="H198" s="5">
        <v>0.05</v>
      </c>
      <c r="I198" s="57">
        <f t="shared" si="13"/>
        <v>45.682207777283693</v>
      </c>
    </row>
    <row r="199" spans="3:9" x14ac:dyDescent="0.25">
      <c r="C199" s="180"/>
      <c r="D199" s="7"/>
      <c r="E199" s="92" t="s">
        <v>144</v>
      </c>
      <c r="F199" s="16">
        <f>$E$150/E160/$J$5</f>
        <v>32.277126529184407</v>
      </c>
      <c r="G199" s="16">
        <f>F199+'LV Accuracies'!F78</f>
        <v>32.333264140377473</v>
      </c>
      <c r="H199" s="5">
        <v>0.05</v>
      </c>
      <c r="I199" s="57">
        <f t="shared" si="13"/>
        <v>33.949927347396347</v>
      </c>
    </row>
    <row r="200" spans="3:9" x14ac:dyDescent="0.25">
      <c r="C200" s="180"/>
      <c r="D200" s="7"/>
      <c r="E200" s="92" t="s">
        <v>145</v>
      </c>
      <c r="F200" s="16">
        <f>$E$150/E161/$J$5</f>
        <v>31.335517386056598</v>
      </c>
      <c r="G200" s="16">
        <f>F200+'LV Accuracies'!F79</f>
        <v>31.389960878434227</v>
      </c>
      <c r="H200" s="5">
        <v>0.05</v>
      </c>
      <c r="I200" s="57">
        <f t="shared" si="13"/>
        <v>32.959458922355935</v>
      </c>
    </row>
    <row r="201" spans="3:9" ht="30" x14ac:dyDescent="0.25">
      <c r="C201" s="180"/>
      <c r="D201" s="7" t="s">
        <v>162</v>
      </c>
      <c r="E201" s="219" t="s">
        <v>442</v>
      </c>
      <c r="F201" s="16">
        <f>$E$150/E162/$J$5</f>
        <v>3.8679201212658998</v>
      </c>
      <c r="G201" s="16">
        <f>F201+'LV Accuracies'!F80</f>
        <v>3.8744413248791694</v>
      </c>
      <c r="H201" s="5">
        <v>0.05</v>
      </c>
      <c r="I201" s="57">
        <f t="shared" si="13"/>
        <v>4.0681633911231279</v>
      </c>
    </row>
    <row r="202" spans="3:9" ht="30" x14ac:dyDescent="0.25">
      <c r="C202" s="180"/>
      <c r="D202" s="7"/>
      <c r="E202" s="219" t="s">
        <v>443</v>
      </c>
      <c r="F202" s="16">
        <f>$E$150/E163/$J$5</f>
        <v>1.267361061010529</v>
      </c>
      <c r="G202" s="16">
        <f>F202+'LV Accuracies'!F81</f>
        <v>1.2694917543272399</v>
      </c>
      <c r="H202" s="5">
        <v>0.05</v>
      </c>
      <c r="I202" s="57">
        <f t="shared" si="13"/>
        <v>1.332966342043602</v>
      </c>
    </row>
    <row r="203" spans="3:9" x14ac:dyDescent="0.25">
      <c r="C203" s="180"/>
      <c r="D203" s="7" t="s">
        <v>163</v>
      </c>
      <c r="E203" s="219" t="s">
        <v>166</v>
      </c>
      <c r="F203" s="16">
        <f t="shared" ref="F203:F209" si="15">$E$150/E165/$J$5</f>
        <v>13.263677500859178</v>
      </c>
      <c r="G203" s="16">
        <f>F203+'LV Accuracies'!F82</f>
        <v>13.286270124853322</v>
      </c>
      <c r="H203" s="5">
        <v>0.05</v>
      </c>
      <c r="I203" s="57">
        <f t="shared" si="13"/>
        <v>13.950583631095988</v>
      </c>
    </row>
    <row r="204" spans="3:9" x14ac:dyDescent="0.25">
      <c r="C204" s="180"/>
      <c r="D204" s="7"/>
      <c r="E204" s="43" t="s">
        <v>167</v>
      </c>
      <c r="F204" s="16">
        <f t="shared" si="15"/>
        <v>15.02811166381751</v>
      </c>
      <c r="G204" s="16">
        <f>F204+'LV Accuracies'!F83</f>
        <v>15.053759158578341</v>
      </c>
      <c r="H204" s="5">
        <v>0.05</v>
      </c>
      <c r="I204" s="57">
        <f t="shared" si="13"/>
        <v>15.806447116507258</v>
      </c>
    </row>
    <row r="205" spans="3:9" x14ac:dyDescent="0.25">
      <c r="C205" s="180"/>
      <c r="D205" s="7"/>
      <c r="E205" s="43" t="s">
        <v>168</v>
      </c>
      <c r="F205" s="16">
        <f t="shared" si="15"/>
        <v>12.747581100047539</v>
      </c>
      <c r="G205" s="16">
        <f>F205+'LV Accuracies'!F84</f>
        <v>12.769282389739031</v>
      </c>
      <c r="H205" s="5">
        <v>0.05</v>
      </c>
      <c r="I205" s="57">
        <f t="shared" si="13"/>
        <v>13.407746509225982</v>
      </c>
    </row>
    <row r="206" spans="3:9" ht="30" x14ac:dyDescent="0.25">
      <c r="C206" s="180"/>
      <c r="D206" s="7"/>
      <c r="E206" s="43" t="s">
        <v>170</v>
      </c>
      <c r="F206" s="16">
        <f t="shared" si="15"/>
        <v>12.949123884238013</v>
      </c>
      <c r="G206" s="16">
        <f>F206+'LV Accuracies'!F85</f>
        <v>12.971173133211158</v>
      </c>
      <c r="H206" s="5">
        <v>0.05</v>
      </c>
      <c r="I206" s="57">
        <f t="shared" si="13"/>
        <v>13.619731789871716</v>
      </c>
    </row>
    <row r="207" spans="3:9" ht="30" x14ac:dyDescent="0.25">
      <c r="C207" s="180"/>
      <c r="D207" s="7"/>
      <c r="E207" s="43" t="s">
        <v>489</v>
      </c>
      <c r="F207" s="16">
        <f t="shared" si="15"/>
        <v>13.707649969507186</v>
      </c>
      <c r="G207" s="16">
        <f>F207+'LV Accuracies'!F86</f>
        <v>13.731010165940328</v>
      </c>
      <c r="H207" s="5">
        <v>0.05</v>
      </c>
      <c r="I207" s="57">
        <f t="shared" si="13"/>
        <v>14.417560674237343</v>
      </c>
    </row>
    <row r="208" spans="3:9" ht="30" x14ac:dyDescent="0.25">
      <c r="C208" s="180"/>
      <c r="D208" s="7"/>
      <c r="E208" s="43" t="s">
        <v>171</v>
      </c>
      <c r="F208" s="16">
        <f t="shared" si="15"/>
        <v>16.059452660354005</v>
      </c>
      <c r="G208" s="16">
        <f>F208+'LV Accuracies'!F87</f>
        <v>16.086891215586185</v>
      </c>
      <c r="H208" s="5">
        <v>0.05</v>
      </c>
      <c r="I208" s="57">
        <f t="shared" si="13"/>
        <v>16.891235776365495</v>
      </c>
    </row>
    <row r="209" spans="3:9" ht="30.75" thickBot="1" x14ac:dyDescent="0.3">
      <c r="C209" s="181"/>
      <c r="D209" s="132"/>
      <c r="E209" s="220" t="s">
        <v>172</v>
      </c>
      <c r="F209" s="127">
        <f t="shared" si="15"/>
        <v>13.765245137446291</v>
      </c>
      <c r="G209" s="127">
        <f>F209+'LV Accuracies'!F88</f>
        <v>13.788704963003392</v>
      </c>
      <c r="H209" s="218">
        <v>0.05</v>
      </c>
      <c r="I209" s="154">
        <f t="shared" si="13"/>
        <v>14.478140211153562</v>
      </c>
    </row>
    <row r="210" spans="3:9" x14ac:dyDescent="0.25">
      <c r="C210" s="207" t="s">
        <v>77</v>
      </c>
      <c r="D210" s="116" t="s">
        <v>161</v>
      </c>
      <c r="E210" s="221" t="s">
        <v>135</v>
      </c>
      <c r="F210" s="117">
        <f>$F$150/E153/$J$5</f>
        <v>40.447089918571578</v>
      </c>
      <c r="G210" s="117">
        <f>F210+'LV Accuracies'!F107</f>
        <v>40.460016422479448</v>
      </c>
      <c r="H210" s="222">
        <v>0.05</v>
      </c>
      <c r="I210" s="223">
        <f t="shared" si="13"/>
        <v>42.48301724360342</v>
      </c>
    </row>
    <row r="211" spans="3:9" x14ac:dyDescent="0.25">
      <c r="C211" s="180"/>
      <c r="D211" s="7"/>
      <c r="E211" s="92" t="s">
        <v>137</v>
      </c>
      <c r="F211" s="16">
        <f>$F$150/E154/$J$5</f>
        <v>55.980258956402835</v>
      </c>
      <c r="G211" s="16">
        <f>F211+'LV Accuracies'!F108</f>
        <v>55.998207059996872</v>
      </c>
      <c r="H211" s="5">
        <v>0.05</v>
      </c>
      <c r="I211" s="57">
        <f t="shared" si="13"/>
        <v>58.798117412996717</v>
      </c>
    </row>
    <row r="212" spans="3:9" x14ac:dyDescent="0.25">
      <c r="C212" s="180"/>
      <c r="D212" s="7"/>
      <c r="E212" s="92" t="s">
        <v>139</v>
      </c>
      <c r="F212" s="16">
        <f>$F$150/E155/$J$5</f>
        <v>44.106572564967543</v>
      </c>
      <c r="G212" s="16">
        <f>F212+'LV Accuracies'!F109</f>
        <v>44.120679232129056</v>
      </c>
      <c r="H212" s="5">
        <v>0.05</v>
      </c>
      <c r="I212" s="57">
        <f t="shared" si="13"/>
        <v>46.326713193735507</v>
      </c>
    </row>
    <row r="213" spans="3:9" x14ac:dyDescent="0.25">
      <c r="C213" s="180"/>
      <c r="D213" s="7"/>
      <c r="E213" s="92" t="s">
        <v>140</v>
      </c>
      <c r="F213" s="16">
        <f>$F$150/E156/$J$5</f>
        <v>17.724808037611439</v>
      </c>
      <c r="G213" s="16">
        <f>F213+'LV Accuracies'!F110</f>
        <v>17.730446294649184</v>
      </c>
      <c r="H213" s="5">
        <v>0.05</v>
      </c>
      <c r="I213" s="57">
        <f t="shared" si="13"/>
        <v>18.616968609381644</v>
      </c>
    </row>
    <row r="214" spans="3:9" x14ac:dyDescent="0.25">
      <c r="C214" s="180"/>
      <c r="D214" s="7"/>
      <c r="E214" s="92" t="s">
        <v>141</v>
      </c>
      <c r="F214" s="16">
        <f>$F$150/E157/$J$5</f>
        <v>10.718276501992879</v>
      </c>
      <c r="G214" s="16">
        <f>F214+'LV Accuracies'!F111</f>
        <v>10.721681076292233</v>
      </c>
      <c r="H214" s="5">
        <v>0.05</v>
      </c>
      <c r="I214" s="57">
        <f t="shared" si="13"/>
        <v>11.257765130106845</v>
      </c>
    </row>
    <row r="215" spans="3:9" x14ac:dyDescent="0.25">
      <c r="C215" s="180"/>
      <c r="D215" s="7"/>
      <c r="E215" s="92" t="s">
        <v>142</v>
      </c>
      <c r="F215" s="16">
        <f>$F$150/E158/$J$5</f>
        <v>39.777851615885801</v>
      </c>
      <c r="G215" s="16">
        <f>F215+'LV Accuracies'!F112</f>
        <v>39.79056248586366</v>
      </c>
      <c r="H215" s="5">
        <v>0.05</v>
      </c>
      <c r="I215" s="57">
        <f t="shared" si="13"/>
        <v>41.78009061015684</v>
      </c>
    </row>
    <row r="216" spans="3:9" x14ac:dyDescent="0.25">
      <c r="C216" s="180"/>
      <c r="D216" s="7"/>
      <c r="E216" s="92" t="s">
        <v>143</v>
      </c>
      <c r="F216" s="16">
        <f>$F$150/E159/$J$5</f>
        <v>42.323224919036647</v>
      </c>
      <c r="G216" s="16">
        <f>F216+'LV Accuracies'!F113</f>
        <v>42.336756244704347</v>
      </c>
      <c r="H216" s="5">
        <v>0.05</v>
      </c>
      <c r="I216" s="57">
        <f t="shared" si="13"/>
        <v>44.453594056939565</v>
      </c>
    </row>
    <row r="217" spans="3:9" x14ac:dyDescent="0.25">
      <c r="C217" s="180"/>
      <c r="D217" s="7"/>
      <c r="E217" s="92" t="s">
        <v>144</v>
      </c>
      <c r="F217" s="16">
        <f>$F$150/E160/$J$5</f>
        <v>31.45428717775971</v>
      </c>
      <c r="G217" s="16">
        <f>F217+'LV Accuracies'!F114</f>
        <v>31.464321075532403</v>
      </c>
      <c r="H217" s="5">
        <v>0.05</v>
      </c>
      <c r="I217" s="57">
        <f t="shared" si="13"/>
        <v>33.037537129309023</v>
      </c>
    </row>
    <row r="218" spans="3:9" x14ac:dyDescent="0.25">
      <c r="C218" s="180"/>
      <c r="D218" s="7"/>
      <c r="E218" s="92" t="s">
        <v>145</v>
      </c>
      <c r="F218" s="16">
        <f>$F$150/E161/$J$5</f>
        <v>30.536682434649553</v>
      </c>
      <c r="G218" s="16">
        <f>F218+'LV Accuracies'!F115</f>
        <v>30.546421777826239</v>
      </c>
      <c r="H218" s="5">
        <v>0.05</v>
      </c>
      <c r="I218" s="57">
        <f t="shared" si="13"/>
        <v>32.073742866717552</v>
      </c>
    </row>
    <row r="219" spans="3:9" ht="30" x14ac:dyDescent="0.25">
      <c r="C219" s="180"/>
      <c r="D219" s="7" t="s">
        <v>162</v>
      </c>
      <c r="E219" s="219" t="s">
        <v>442</v>
      </c>
      <c r="F219" s="16">
        <f>$F$150/E162/$J$5</f>
        <v>3.7693154055993041</v>
      </c>
      <c r="G219" s="16">
        <f>F219+'LV Accuracies'!F116</f>
        <v>3.770510990177371</v>
      </c>
      <c r="H219" s="5">
        <v>0.05</v>
      </c>
      <c r="I219" s="57">
        <f t="shared" si="13"/>
        <v>3.9590365396862395</v>
      </c>
    </row>
    <row r="220" spans="3:9" ht="30" x14ac:dyDescent="0.25">
      <c r="C220" s="180"/>
      <c r="D220" s="7"/>
      <c r="E220" s="219" t="s">
        <v>443</v>
      </c>
      <c r="F220" s="16">
        <f>$F$150/E163/$J$5</f>
        <v>1.2350522818346654</v>
      </c>
      <c r="G220" s="16">
        <f>F220+'LV Accuracies'!F117</f>
        <v>1.2354438227176934</v>
      </c>
      <c r="H220" s="5">
        <v>0.05</v>
      </c>
      <c r="I220" s="57">
        <f t="shared" si="13"/>
        <v>1.297216013853578</v>
      </c>
    </row>
    <row r="221" spans="3:9" x14ac:dyDescent="0.25">
      <c r="C221" s="180"/>
      <c r="D221" s="7" t="s">
        <v>163</v>
      </c>
      <c r="E221" s="219" t="s">
        <v>166</v>
      </c>
      <c r="F221" s="16">
        <f t="shared" ref="F221:F227" si="16">$F$150/E165/$J$5</f>
        <v>12.92554716009154</v>
      </c>
      <c r="G221" s="16">
        <f>F221+'LV Accuracies'!F118</f>
        <v>12.929654719054751</v>
      </c>
      <c r="H221" s="5">
        <v>0.05</v>
      </c>
      <c r="I221" s="57">
        <f t="shared" si="13"/>
        <v>13.576137455007489</v>
      </c>
    </row>
    <row r="222" spans="3:9" x14ac:dyDescent="0.25">
      <c r="C222" s="180"/>
      <c r="D222" s="7"/>
      <c r="E222" s="43" t="s">
        <v>167</v>
      </c>
      <c r="F222" s="16">
        <f t="shared" si="16"/>
        <v>14.645000681388122</v>
      </c>
      <c r="G222" s="16">
        <f>F222+'LV Accuracies'!F119</f>
        <v>14.649656303866402</v>
      </c>
      <c r="H222" s="5">
        <v>0.05</v>
      </c>
      <c r="I222" s="57">
        <f t="shared" si="13"/>
        <v>15.382139119059723</v>
      </c>
    </row>
    <row r="223" spans="3:9" x14ac:dyDescent="0.25">
      <c r="C223" s="180"/>
      <c r="D223" s="7"/>
      <c r="E223" s="43" t="s">
        <v>168</v>
      </c>
      <c r="F223" s="16">
        <f t="shared" si="16"/>
        <v>12.422607581877861</v>
      </c>
      <c r="G223" s="16">
        <f>F223+'LV Accuracies'!F120</f>
        <v>12.426554905593141</v>
      </c>
      <c r="H223" s="5">
        <v>0.05</v>
      </c>
      <c r="I223" s="57">
        <f t="shared" si="13"/>
        <v>13.047882650872799</v>
      </c>
    </row>
    <row r="224" spans="3:9" ht="30" x14ac:dyDescent="0.25">
      <c r="C224" s="180"/>
      <c r="D224" s="7"/>
      <c r="E224" s="43" t="s">
        <v>170</v>
      </c>
      <c r="F224" s="16">
        <f t="shared" si="16"/>
        <v>12.619012444832453</v>
      </c>
      <c r="G224" s="16">
        <f>F224+'LV Accuracies'!F121</f>
        <v>12.623022338689911</v>
      </c>
      <c r="H224" s="5">
        <v>0.05</v>
      </c>
      <c r="I224" s="57">
        <f t="shared" si="13"/>
        <v>13.254173455624406</v>
      </c>
    </row>
    <row r="225" spans="3:9" ht="30" x14ac:dyDescent="0.25">
      <c r="C225" s="180"/>
      <c r="D225" s="7"/>
      <c r="E225" s="43" t="s">
        <v>490</v>
      </c>
      <c r="F225" s="16">
        <f t="shared" si="16"/>
        <v>13.358201458337282</v>
      </c>
      <c r="G225" s="16">
        <f>F225+'LV Accuracies'!F122</f>
        <v>13.36244688632563</v>
      </c>
      <c r="H225" s="5">
        <v>0.05</v>
      </c>
      <c r="I225" s="57">
        <f t="shared" si="13"/>
        <v>14.030569230641913</v>
      </c>
    </row>
    <row r="226" spans="3:9" ht="30" x14ac:dyDescent="0.25">
      <c r="C226" s="180"/>
      <c r="D226" s="7"/>
      <c r="E226" s="43" t="s">
        <v>171</v>
      </c>
      <c r="F226" s="16">
        <f t="shared" si="16"/>
        <v>15.650049747757894</v>
      </c>
      <c r="G226" s="16">
        <f>F226+'LV Accuracies'!F123</f>
        <v>15.655025901715707</v>
      </c>
      <c r="H226" s="5">
        <v>0.05</v>
      </c>
      <c r="I226" s="57">
        <f t="shared" si="13"/>
        <v>16.437777196801491</v>
      </c>
    </row>
    <row r="227" spans="3:9" ht="30" x14ac:dyDescent="0.25">
      <c r="C227" s="180"/>
      <c r="D227" s="7"/>
      <c r="E227" s="43" t="s">
        <v>172</v>
      </c>
      <c r="F227" s="16">
        <f t="shared" si="16"/>
        <v>13.414328355221052</v>
      </c>
      <c r="G227" s="16">
        <f>F227+'LV Accuracies'!F124</f>
        <v>13.418591670324609</v>
      </c>
      <c r="H227" s="5">
        <v>0.05</v>
      </c>
      <c r="I227" s="57">
        <f t="shared" si="13"/>
        <v>14.089521253840839</v>
      </c>
    </row>
    <row r="228" spans="3:9" x14ac:dyDescent="0.25">
      <c r="C228" s="191" t="s">
        <v>177</v>
      </c>
      <c r="D228" s="7" t="s">
        <v>161</v>
      </c>
      <c r="E228" s="92" t="s">
        <v>135</v>
      </c>
      <c r="F228" s="16">
        <f>$G$150/E153/$J$5</f>
        <v>48.332931549196751</v>
      </c>
      <c r="G228" s="16">
        <f>F228+'LV Accuracies'!F107</f>
        <v>48.345858053104621</v>
      </c>
      <c r="H228" s="5">
        <v>0.05</v>
      </c>
      <c r="I228" s="57">
        <f t="shared" si="13"/>
        <v>50.763150955759855</v>
      </c>
    </row>
    <row r="229" spans="3:9" x14ac:dyDescent="0.25">
      <c r="C229" s="180"/>
      <c r="D229" s="7"/>
      <c r="E229" s="92" t="s">
        <v>137</v>
      </c>
      <c r="F229" s="16">
        <f>$G$150/E154/$J$5</f>
        <v>66.894553593181726</v>
      </c>
      <c r="G229" s="16">
        <f>F229+'LV Accuracies'!F108</f>
        <v>66.912501696775763</v>
      </c>
      <c r="H229" s="5">
        <v>0.05</v>
      </c>
      <c r="I229" s="57">
        <f t="shared" si="13"/>
        <v>70.25812678161455</v>
      </c>
    </row>
    <row r="230" spans="3:9" x14ac:dyDescent="0.25">
      <c r="C230" s="180"/>
      <c r="D230" s="7"/>
      <c r="E230" s="92" t="s">
        <v>139</v>
      </c>
      <c r="F230" s="16">
        <f>$G$150/E155/$J$5</f>
        <v>52.705891992329065</v>
      </c>
      <c r="G230" s="16">
        <f>F230+'LV Accuracies'!F109</f>
        <v>52.719998659490578</v>
      </c>
      <c r="H230" s="5">
        <v>0.05</v>
      </c>
      <c r="I230" s="57">
        <f t="shared" si="13"/>
        <v>55.355998592465106</v>
      </c>
    </row>
    <row r="231" spans="3:9" x14ac:dyDescent="0.25">
      <c r="C231" s="180"/>
      <c r="D231" s="7"/>
      <c r="E231" s="92" t="s">
        <v>140</v>
      </c>
      <c r="F231" s="16">
        <f>$G$150/E156/$J$5</f>
        <v>21.180557991421026</v>
      </c>
      <c r="G231" s="16">
        <f>F231+'LV Accuracies'!F110</f>
        <v>21.186196248458771</v>
      </c>
      <c r="H231" s="5">
        <v>0.05</v>
      </c>
      <c r="I231" s="57">
        <f t="shared" si="13"/>
        <v>22.245506060881709</v>
      </c>
    </row>
    <row r="232" spans="3:9" x14ac:dyDescent="0.25">
      <c r="C232" s="180"/>
      <c r="D232" s="7"/>
      <c r="E232" s="92" t="s">
        <v>141</v>
      </c>
      <c r="F232" s="16">
        <f>$G$150/E157/$J$5</f>
        <v>12.807985087162507</v>
      </c>
      <c r="G232" s="16">
        <f>F232+'LV Accuracies'!F111</f>
        <v>12.811389661461861</v>
      </c>
      <c r="H232" s="5">
        <v>0.05</v>
      </c>
      <c r="I232" s="57">
        <f t="shared" si="13"/>
        <v>13.451959144534955</v>
      </c>
    </row>
    <row r="233" spans="3:9" x14ac:dyDescent="0.25">
      <c r="C233" s="180"/>
      <c r="D233" s="7"/>
      <c r="E233" s="92" t="s">
        <v>142</v>
      </c>
      <c r="F233" s="16">
        <f>$G$150/E158/$J$5</f>
        <v>47.533213964101463</v>
      </c>
      <c r="G233" s="16">
        <f>F233+'LV Accuracies'!F112</f>
        <v>47.545924834079322</v>
      </c>
      <c r="H233" s="5">
        <v>0.05</v>
      </c>
      <c r="I233" s="57">
        <f t="shared" si="13"/>
        <v>49.923221075783289</v>
      </c>
    </row>
    <row r="234" spans="3:9" x14ac:dyDescent="0.25">
      <c r="C234" s="180"/>
      <c r="D234" s="7"/>
      <c r="E234" s="92" t="s">
        <v>143</v>
      </c>
      <c r="F234" s="16">
        <f>$G$150/E159/$J$5</f>
        <v>50.574850677052083</v>
      </c>
      <c r="G234" s="16">
        <f>F234+'LV Accuracies'!F113</f>
        <v>50.588382002719783</v>
      </c>
      <c r="H234" s="5">
        <v>0.05</v>
      </c>
      <c r="I234" s="57">
        <f t="shared" si="13"/>
        <v>53.117801102855772</v>
      </c>
    </row>
    <row r="235" spans="3:9" x14ac:dyDescent="0.25">
      <c r="C235" s="180"/>
      <c r="D235" s="7"/>
      <c r="E235" s="92" t="s">
        <v>144</v>
      </c>
      <c r="F235" s="16">
        <f>$G$150/E160/$J$5</f>
        <v>37.58683040367238</v>
      </c>
      <c r="G235" s="16">
        <f>F235+'LV Accuracies'!F114</f>
        <v>37.596864301445073</v>
      </c>
      <c r="H235" s="5">
        <v>0.05</v>
      </c>
      <c r="I235" s="57">
        <f t="shared" si="13"/>
        <v>39.47670751651733</v>
      </c>
    </row>
    <row r="236" spans="3:9" x14ac:dyDescent="0.25">
      <c r="C236" s="180"/>
      <c r="D236" s="7"/>
      <c r="E236" s="92" t="s">
        <v>145</v>
      </c>
      <c r="F236" s="16">
        <f>$G$150/E161/$J$5</f>
        <v>36.490323156123836</v>
      </c>
      <c r="G236" s="16">
        <f>F236+'LV Accuracies'!F115</f>
        <v>36.500062499300519</v>
      </c>
      <c r="H236" s="5">
        <v>0.05</v>
      </c>
      <c r="I236" s="57">
        <f t="shared" si="13"/>
        <v>38.325065624265548</v>
      </c>
    </row>
    <row r="237" spans="3:9" ht="30" x14ac:dyDescent="0.25">
      <c r="C237" s="180"/>
      <c r="D237" s="7" t="s">
        <v>162</v>
      </c>
      <c r="E237" s="219" t="s">
        <v>442</v>
      </c>
      <c r="F237" s="16">
        <f>$G$150/E162/$J$5</f>
        <v>4.5042069492004098</v>
      </c>
      <c r="G237" s="16">
        <f>F237+'LV Accuracies'!F116</f>
        <v>4.5054025337784767</v>
      </c>
      <c r="H237" s="5">
        <v>0.05</v>
      </c>
      <c r="I237" s="57">
        <f t="shared" si="13"/>
        <v>4.7306726604674001</v>
      </c>
    </row>
    <row r="238" spans="3:9" ht="30" x14ac:dyDescent="0.25">
      <c r="C238" s="180"/>
      <c r="D238" s="7"/>
      <c r="E238" s="219" t="s">
        <v>443</v>
      </c>
      <c r="F238" s="16">
        <f>$G$150/E163/$J$5</f>
        <v>1.4758465322911982</v>
      </c>
      <c r="G238" s="16">
        <f>F238+'LV Accuracies'!F117</f>
        <v>1.4762380731742262</v>
      </c>
      <c r="H238" s="5">
        <v>0.05</v>
      </c>
      <c r="I238" s="57">
        <f t="shared" si="13"/>
        <v>1.5500499768329374</v>
      </c>
    </row>
    <row r="239" spans="3:9" x14ac:dyDescent="0.25">
      <c r="C239" s="180"/>
      <c r="D239" s="7" t="s">
        <v>163</v>
      </c>
      <c r="E239" s="219" t="s">
        <v>166</v>
      </c>
      <c r="F239" s="16">
        <f t="shared" ref="F239:F245" si="17">$G$150/E165/$J$5</f>
        <v>15.445600348067801</v>
      </c>
      <c r="G239" s="16">
        <f>F239+'LV Accuracies'!F118</f>
        <v>15.449707907031012</v>
      </c>
      <c r="H239" s="5">
        <v>0.05</v>
      </c>
      <c r="I239" s="57">
        <f t="shared" ref="I239:I245" si="18">H239*G239+G239</f>
        <v>16.222193302382564</v>
      </c>
    </row>
    <row r="240" spans="3:9" x14ac:dyDescent="0.25">
      <c r="C240" s="180"/>
      <c r="D240" s="7"/>
      <c r="E240" s="43" t="s">
        <v>167</v>
      </c>
      <c r="F240" s="16">
        <f t="shared" si="17"/>
        <v>17.500290302627281</v>
      </c>
      <c r="G240" s="16">
        <f>F240+'LV Accuracies'!F119</f>
        <v>17.504945925105559</v>
      </c>
      <c r="H240" s="5">
        <v>0.05</v>
      </c>
      <c r="I240" s="57">
        <f t="shared" si="18"/>
        <v>18.380193221360837</v>
      </c>
    </row>
    <row r="241" spans="1:13" x14ac:dyDescent="0.25">
      <c r="C241" s="180"/>
      <c r="D241" s="7"/>
      <c r="E241" s="43" t="s">
        <v>168</v>
      </c>
      <c r="F241" s="16">
        <f t="shared" si="17"/>
        <v>14.844604225574892</v>
      </c>
      <c r="G241" s="16">
        <f>F241+'LV Accuracies'!F120</f>
        <v>14.848551549290173</v>
      </c>
      <c r="H241" s="5">
        <v>0.05</v>
      </c>
      <c r="I241" s="57">
        <f t="shared" si="18"/>
        <v>15.590979126754682</v>
      </c>
    </row>
    <row r="242" spans="1:13" ht="30" x14ac:dyDescent="0.25">
      <c r="C242" s="180"/>
      <c r="D242" s="7"/>
      <c r="E242" s="43" t="s">
        <v>170</v>
      </c>
      <c r="F242" s="16">
        <f t="shared" si="17"/>
        <v>15.079301525583981</v>
      </c>
      <c r="G242" s="16">
        <f>F242+'LV Accuracies'!F121</f>
        <v>15.083311419441438</v>
      </c>
      <c r="H242" s="5">
        <v>0.05</v>
      </c>
      <c r="I242" s="57">
        <f t="shared" si="18"/>
        <v>15.83747699041351</v>
      </c>
    </row>
    <row r="243" spans="1:13" ht="30" x14ac:dyDescent="0.25">
      <c r="C243" s="180"/>
      <c r="D243" s="7"/>
      <c r="E243" s="43" t="s">
        <v>490</v>
      </c>
      <c r="F243" s="16">
        <f t="shared" si="17"/>
        <v>15.96260789109936</v>
      </c>
      <c r="G243" s="16">
        <f>F243+'LV Accuracies'!F122</f>
        <v>15.966853319087708</v>
      </c>
      <c r="H243" s="5">
        <v>0.05</v>
      </c>
      <c r="I243" s="57">
        <f t="shared" si="18"/>
        <v>16.765195985042094</v>
      </c>
    </row>
    <row r="244" spans="1:13" ht="30" x14ac:dyDescent="0.25">
      <c r="C244" s="180"/>
      <c r="D244" s="7"/>
      <c r="E244" s="43" t="s">
        <v>171</v>
      </c>
      <c r="F244" s="16">
        <f t="shared" si="17"/>
        <v>18.701290617513465</v>
      </c>
      <c r="G244" s="16">
        <f>F244+'LV Accuracies'!F123</f>
        <v>18.706266771471277</v>
      </c>
      <c r="H244" s="5">
        <v>0.05</v>
      </c>
      <c r="I244" s="57">
        <f t="shared" si="18"/>
        <v>19.641580110044842</v>
      </c>
    </row>
    <row r="245" spans="1:13" ht="30.75" thickBot="1" x14ac:dyDescent="0.3">
      <c r="C245" s="181"/>
      <c r="D245" s="132"/>
      <c r="E245" s="220" t="s">
        <v>172</v>
      </c>
      <c r="F245" s="127">
        <f t="shared" si="17"/>
        <v>16.029677672154399</v>
      </c>
      <c r="G245" s="127">
        <f>F245+'LV Accuracies'!F124</f>
        <v>16.033940987257957</v>
      </c>
      <c r="H245" s="218">
        <v>0.05</v>
      </c>
      <c r="I245" s="154">
        <f t="shared" si="18"/>
        <v>16.835638036620853</v>
      </c>
    </row>
    <row r="246" spans="1:13" ht="15.75" thickBot="1" x14ac:dyDescent="0.3"/>
    <row r="247" spans="1:13" ht="45" x14ac:dyDescent="0.25">
      <c r="A247" s="157" t="s">
        <v>390</v>
      </c>
      <c r="B247" s="4"/>
      <c r="C247" s="118" t="s">
        <v>392</v>
      </c>
      <c r="D247" s="118" t="s">
        <v>394</v>
      </c>
      <c r="E247" s="118" t="s">
        <v>393</v>
      </c>
      <c r="F247" s="118" t="s">
        <v>395</v>
      </c>
      <c r="G247" s="119" t="s">
        <v>396</v>
      </c>
    </row>
    <row r="248" spans="1:13" x14ac:dyDescent="0.25">
      <c r="A248" s="58" t="s">
        <v>161</v>
      </c>
      <c r="B248" s="13" t="s">
        <v>135</v>
      </c>
      <c r="C248" s="16">
        <f>($J$6/'Gas Data'!D4/'Gas Data'!B17)*((2/('Gas Data'!B17-1))*((2/('Gas Data'!B17+1)^(('Gas Data'!B17+1)/('Gas Data'!B17-1)))))^(-0.5)</f>
        <v>0.10962607386900962</v>
      </c>
      <c r="D248" s="112">
        <f>C248*'Gas Data'!D4/$J$8</f>
        <v>2.7172854723332496E-5</v>
      </c>
      <c r="E248" s="16">
        <f>2*SQRT(D248/PI())*100</f>
        <v>0.58819684780769255</v>
      </c>
      <c r="F248" s="91">
        <f t="shared" ref="F248:F256" si="19">D248*$J$7</f>
        <v>6.793213680833124E-4</v>
      </c>
      <c r="G248" s="57">
        <f>2*SQRT(F248/PI())*100</f>
        <v>2.9409842390384631</v>
      </c>
    </row>
    <row r="249" spans="1:13" x14ac:dyDescent="0.25">
      <c r="A249" s="55"/>
      <c r="B249" s="13" t="s">
        <v>137</v>
      </c>
      <c r="C249" s="16">
        <f>($J$6/'Gas Data'!D5/'Gas Data'!B18)*((2/('Gas Data'!B18-1))*((2/('Gas Data'!B18+1)^(('Gas Data'!B18+1)/('Gas Data'!B18-1)))))^(-0.5)</f>
        <v>7.6910173507473603E-2</v>
      </c>
      <c r="D249" s="112">
        <f>C249*'Gas Data'!D5/$J$8</f>
        <v>1.5332953544182993E-5</v>
      </c>
      <c r="E249" s="16">
        <f t="shared" ref="E249:E256" si="20">2*SQRT(D249/PI())*100</f>
        <v>0.44184299009988776</v>
      </c>
      <c r="F249" s="91">
        <f t="shared" si="19"/>
        <v>3.8332383860457486E-4</v>
      </c>
      <c r="G249" s="57">
        <f t="shared" ref="G249:G256" si="21">2*SQRT(F249/PI())*100</f>
        <v>2.2092149504994394</v>
      </c>
    </row>
    <row r="250" spans="1:13" x14ac:dyDescent="0.25">
      <c r="A250" s="55"/>
      <c r="B250" s="13" t="s">
        <v>139</v>
      </c>
      <c r="C250" s="16">
        <f>($J$6/'Gas Data'!D6/'Gas Data'!B19)*((2/('Gas Data'!B19-1))*((2/('Gas Data'!B19+1)^(('Gas Data'!B19+1)/('Gas Data'!B19-1)))))^(-0.5)</f>
        <v>0.23453152060097845</v>
      </c>
      <c r="D250" s="112">
        <f>C250*'Gas Data'!D6/$J$8</f>
        <v>4.8553344821521238E-5</v>
      </c>
      <c r="E250" s="16">
        <f t="shared" si="20"/>
        <v>0.7862572012765483</v>
      </c>
      <c r="F250" s="91">
        <f t="shared" si="19"/>
        <v>1.213833620538031E-3</v>
      </c>
      <c r="G250" s="57">
        <f t="shared" si="21"/>
        <v>3.9312860063827419</v>
      </c>
    </row>
    <row r="251" spans="1:13" x14ac:dyDescent="0.25">
      <c r="A251" s="55"/>
      <c r="B251" s="13" t="s">
        <v>140</v>
      </c>
      <c r="C251" s="16">
        <f>($J$6/'Gas Data'!D7/'Gas Data'!B20)*((2/('Gas Data'!B20-1))*((2/('Gas Data'!B20+1)^(('Gas Data'!B20+1)/('Gas Data'!B20-1)))))^(-0.5)</f>
        <v>2.4312680856109811E-2</v>
      </c>
      <c r="D251" s="112">
        <f>C251*'Gas Data'!D7/$J$8</f>
        <v>1.5312433044520309E-5</v>
      </c>
      <c r="E251" s="16">
        <f t="shared" si="20"/>
        <v>0.44154722599505369</v>
      </c>
      <c r="F251" s="91">
        <f t="shared" si="19"/>
        <v>3.8281082611300773E-4</v>
      </c>
      <c r="G251" s="57">
        <f t="shared" si="21"/>
        <v>2.2077361299752685</v>
      </c>
    </row>
    <row r="252" spans="1:13" x14ac:dyDescent="0.25">
      <c r="A252" s="55"/>
      <c r="B252" s="13" t="s">
        <v>141</v>
      </c>
      <c r="C252" s="16">
        <f>($J$6/'Gas Data'!D8/'Gas Data'!B21)*((2/('Gas Data'!B21-1))*((2/('Gas Data'!B21+1)^(('Gas Data'!B21+1)/('Gas Data'!B21-1)))))^(-0.5)</f>
        <v>2.8435600656381982E-2</v>
      </c>
      <c r="D252" s="112">
        <f>C252*'Gas Data'!D8/$J$8</f>
        <v>2.6682910538532789E-5</v>
      </c>
      <c r="E252" s="16">
        <f t="shared" si="20"/>
        <v>0.58286994146456528</v>
      </c>
      <c r="F252" s="91">
        <f t="shared" si="19"/>
        <v>6.6707276346331969E-4</v>
      </c>
      <c r="G252" s="57">
        <f t="shared" si="21"/>
        <v>2.9143497073228257</v>
      </c>
    </row>
    <row r="253" spans="1:13" x14ac:dyDescent="0.25">
      <c r="A253" s="55"/>
      <c r="B253" s="13" t="s">
        <v>142</v>
      </c>
      <c r="C253" s="16">
        <f>($J$6/'Gas Data'!D9/'Gas Data'!B22)*((2/('Gas Data'!B22-1))*((2/('Gas Data'!B22+1)^(('Gas Data'!B22+1)/('Gas Data'!B22-1)))))^(-0.5)</f>
        <v>0.1078122583069389</v>
      </c>
      <c r="D253" s="112">
        <f>C253*'Gas Data'!D9/$J$8</f>
        <v>2.7172854723332499E-5</v>
      </c>
      <c r="E253" s="16">
        <f t="shared" si="20"/>
        <v>0.58819684780769255</v>
      </c>
      <c r="F253" s="91">
        <f t="shared" si="19"/>
        <v>6.7932136808331251E-4</v>
      </c>
      <c r="G253" s="57">
        <f t="shared" si="21"/>
        <v>2.9409842390384631</v>
      </c>
    </row>
    <row r="254" spans="1:13" x14ac:dyDescent="0.25">
      <c r="A254" s="55"/>
      <c r="B254" s="13" t="s">
        <v>143</v>
      </c>
      <c r="C254" s="16">
        <f>($J$6/'Gas Data'!D10/'Gas Data'!B23)*((2/('Gas Data'!B23-1))*((2/('Gas Data'!B23+1)^(('Gas Data'!B23+1)/('Gas Data'!B23-1)))))^(-0.5)</f>
        <v>0.11725614986761121</v>
      </c>
      <c r="D254" s="112">
        <f>C254*'Gas Data'!D10/$J$8</f>
        <v>2.7684954519156933E-5</v>
      </c>
      <c r="E254" s="16">
        <f t="shared" si="20"/>
        <v>0.59371355793838043</v>
      </c>
      <c r="F254" s="16">
        <f t="shared" si="19"/>
        <v>6.9212386297892335E-4</v>
      </c>
      <c r="G254" s="57">
        <f t="shared" si="21"/>
        <v>2.9685677896919023</v>
      </c>
    </row>
    <row r="255" spans="1:13" x14ac:dyDescent="0.25">
      <c r="A255" s="55"/>
      <c r="B255" s="22" t="s">
        <v>144</v>
      </c>
      <c r="C255" s="17">
        <f>($J$6/'Gas Data'!D11/'Gas Data'!B24)*((2/('Gas Data'!B24-1))*((2/('Gas Data'!B24+1)^(('Gas Data'!B24+1)/('Gas Data'!B24-1)))))^(-0.5)</f>
        <v>9.8776065590062974</v>
      </c>
      <c r="D255" s="17">
        <f>C255*'Gas Data'!D11/$J$8</f>
        <v>4.5843738743430052E-3</v>
      </c>
      <c r="E255" s="17">
        <f t="shared" si="20"/>
        <v>7.6400301731500129</v>
      </c>
      <c r="F255" s="17">
        <f t="shared" si="19"/>
        <v>0.11460934685857513</v>
      </c>
      <c r="G255" s="158">
        <f t="shared" si="21"/>
        <v>38.200150865750068</v>
      </c>
    </row>
    <row r="256" spans="1:13" ht="15.75" thickBot="1" x14ac:dyDescent="0.3">
      <c r="A256" s="62"/>
      <c r="B256" s="163" t="s">
        <v>145</v>
      </c>
      <c r="C256" s="164">
        <f>($J$6/'Gas Data'!D12/'Gas Data'!B25)*((2/('Gas Data'!B25-1))*((2/('Gas Data'!B25+1)^(('Gas Data'!B25+1)/('Gas Data'!B25-1)))))^(-0.5)</f>
        <v>1.6469459362785559</v>
      </c>
      <c r="D256" s="164">
        <f>C256*'Gas Data'!D12/$J$8</f>
        <v>7.6437706620806681E-4</v>
      </c>
      <c r="E256" s="164">
        <f t="shared" si="20"/>
        <v>3.1196716298109939</v>
      </c>
      <c r="F256" s="164">
        <f t="shared" si="19"/>
        <v>1.9109426655201669E-2</v>
      </c>
      <c r="G256" s="165">
        <f t="shared" si="21"/>
        <v>15.59835814905497</v>
      </c>
      <c r="H256" s="38"/>
      <c r="I256" s="38"/>
      <c r="J256" s="10"/>
      <c r="K256" s="10"/>
      <c r="L256" s="10"/>
      <c r="M256" s="10"/>
    </row>
    <row r="257" spans="1:9" ht="21.75" thickBot="1" x14ac:dyDescent="0.4">
      <c r="A257" s="162" t="s">
        <v>318</v>
      </c>
      <c r="B257" s="166" t="s">
        <v>330</v>
      </c>
      <c r="C257" s="167">
        <v>298.14999999999998</v>
      </c>
    </row>
    <row r="258" spans="1:9" ht="30.75" thickBot="1" x14ac:dyDescent="0.3">
      <c r="A258" s="36"/>
      <c r="B258" s="229"/>
      <c r="C258" s="230" t="s">
        <v>175</v>
      </c>
      <c r="D258" s="230" t="s">
        <v>176</v>
      </c>
      <c r="E258" s="230" t="s">
        <v>77</v>
      </c>
      <c r="F258" s="171" t="s">
        <v>177</v>
      </c>
    </row>
    <row r="259" spans="1:9" ht="30.75" thickBot="1" x14ac:dyDescent="0.3">
      <c r="A259" s="159" t="s">
        <v>321</v>
      </c>
      <c r="B259" s="195"/>
      <c r="C259" s="43" t="s">
        <v>334</v>
      </c>
      <c r="D259" s="43" t="s">
        <v>334</v>
      </c>
      <c r="E259" s="43" t="s">
        <v>334</v>
      </c>
      <c r="F259" s="231" t="s">
        <v>334</v>
      </c>
      <c r="H259" s="233" t="s">
        <v>483</v>
      </c>
      <c r="I259" s="234"/>
    </row>
    <row r="260" spans="1:9" ht="45.75" thickBot="1" x14ac:dyDescent="0.3">
      <c r="A260" s="160" t="s">
        <v>416</v>
      </c>
      <c r="B260" s="224" t="s">
        <v>135</v>
      </c>
      <c r="C260" s="44">
        <f>I174*'Gas Data'!H4*'Propulsion Subsystem Sizing'!$C$257/('Propulsion Subsystem Sizing'!$D$33*1000000)</f>
        <v>0.2438801063961249</v>
      </c>
      <c r="D260" s="44">
        <f>I192*'Gas Data'!H4*'Propulsion Subsystem Sizing'!$C$257/('Propulsion Subsystem Sizing'!$D$33*1000000)</f>
        <v>2.1664949034843684</v>
      </c>
      <c r="E260" s="44">
        <f>I210*'Gas Data'!H4*'Propulsion Subsystem Sizing'!$C$257/('Propulsion Subsystem Sizing'!$D$33*1000000)</f>
        <v>2.1082350731041624</v>
      </c>
      <c r="F260" s="161">
        <f>I228*'Gas Data'!H4*'Propulsion Subsystem Sizing'!$C$257/('Propulsion Subsystem Sizing'!$D$33*1000000)</f>
        <v>2.5191396988717387</v>
      </c>
      <c r="H260" s="235" t="s">
        <v>335</v>
      </c>
      <c r="I260" s="232">
        <f>D21</f>
        <v>0.94890663708006806</v>
      </c>
    </row>
    <row r="261" spans="1:9" ht="30.75" thickBot="1" x14ac:dyDescent="0.3">
      <c r="A261" s="160" t="s">
        <v>322</v>
      </c>
      <c r="B261" s="224" t="s">
        <v>137</v>
      </c>
      <c r="C261" s="44">
        <f>I175*'Gas Data'!H5*'Propulsion Subsystem Sizing'!$C$257/('Propulsion Subsystem Sizing'!$D$33*1000000)</f>
        <v>0.2447807483940086</v>
      </c>
      <c r="D261" s="44">
        <f>I193*'Gas Data'!H5*'Propulsion Subsystem Sizing'!$C$257/('Propulsion Subsystem Sizing'!$D$33*1000000)</f>
        <v>2.1739604769108434</v>
      </c>
      <c r="E261" s="44">
        <f>I211*'Gas Data'!H5*'Propulsion Subsystem Sizing'!$C$257/('Propulsion Subsystem Sizing'!$D$33*1000000)</f>
        <v>2.1154359871152022</v>
      </c>
      <c r="F261" s="161">
        <f>I229*'Gas Data'!H5*'Propulsion Subsystem Sizing'!$C$257/('Propulsion Subsystem Sizing'!$D$33*1000000)</f>
        <v>2.5277436816076939</v>
      </c>
      <c r="H261" s="236" t="s">
        <v>336</v>
      </c>
      <c r="I261" s="237">
        <f>I260*2</f>
        <v>1.8978132741601361</v>
      </c>
    </row>
    <row r="262" spans="1:9" ht="30.75" thickBot="1" x14ac:dyDescent="0.3">
      <c r="A262" s="160" t="s">
        <v>323</v>
      </c>
      <c r="B262" s="224" t="s">
        <v>139</v>
      </c>
      <c r="C262" s="44">
        <f>I176*'Gas Data'!H6*'Propulsion Subsystem Sizing'!$C$257/('Propulsion Subsystem Sizing'!$D$33*1000000)</f>
        <v>0.17511443567073107</v>
      </c>
      <c r="D262" s="44">
        <f>I194*'Gas Data'!H6*'Propulsion Subsystem Sizing'!$C$257/('Propulsion Subsystem Sizing'!$D$33*1000000)</f>
        <v>1.5555295969069274</v>
      </c>
      <c r="E262" s="44">
        <f>I212*'Gas Data'!H6*'Propulsion Subsystem Sizing'!$C$257/('Propulsion Subsystem Sizing'!$D$33*1000000)</f>
        <v>1.5136887346189838</v>
      </c>
      <c r="F262" s="161">
        <f>I230*'Gas Data'!H6*'Propulsion Subsystem Sizing'!$C$257/('Propulsion Subsystem Sizing'!$D$33*1000000)</f>
        <v>1.8087134978168367</v>
      </c>
      <c r="H262" s="236" t="s">
        <v>337</v>
      </c>
      <c r="I262" s="237">
        <f>I261*2</f>
        <v>3.7956265483202722</v>
      </c>
    </row>
    <row r="263" spans="1:9" ht="30" x14ac:dyDescent="0.25">
      <c r="A263" s="160" t="s">
        <v>324</v>
      </c>
      <c r="B263" s="224" t="s">
        <v>140</v>
      </c>
      <c r="C263" s="44">
        <f>I177*'Gas Data'!H7*'Propulsion Subsystem Sizing'!$C$257/('Propulsion Subsystem Sizing'!$D$33*1000000)</f>
        <v>0.77340196589783328</v>
      </c>
      <c r="D263" s="44">
        <f>I195*'Gas Data'!H7*'Propulsion Subsystem Sizing'!$C$257/('Propulsion Subsystem Sizing'!$D$33*1000000)</f>
        <v>6.8728774300025046</v>
      </c>
      <c r="E263" s="44">
        <f>I213*'Gas Data'!H7*'Propulsion Subsystem Sizing'!$C$257/('Propulsion Subsystem Sizing'!$D$33*1000000)</f>
        <v>6.6883438936430828</v>
      </c>
      <c r="F263" s="161">
        <f>I231*'Gas Data'!H7*'Propulsion Subsystem Sizing'!$C$257/('Propulsion Subsystem Sizing'!$D$33*1000000)</f>
        <v>7.9919345488030151</v>
      </c>
    </row>
    <row r="264" spans="1:9" x14ac:dyDescent="0.25">
      <c r="A264" s="160" t="s">
        <v>325</v>
      </c>
      <c r="B264" s="224" t="s">
        <v>141</v>
      </c>
      <c r="C264" s="44">
        <f>I178*'Gas Data'!H8*'Propulsion Subsystem Sizing'!$C$257/('Propulsion Subsystem Sizing'!$D$33*1000000)</f>
        <v>0.92849415130395974</v>
      </c>
      <c r="D264" s="44">
        <f>I196*'Gas Data'!H8*'Propulsion Subsystem Sizing'!$C$257/('Propulsion Subsystem Sizing'!$D$33*1000000)</f>
        <v>8.251983677250573</v>
      </c>
      <c r="E264" s="44">
        <f>I214*'Gas Data'!H8*'Propulsion Subsystem Sizing'!$C$257/('Propulsion Subsystem Sizing'!$D$33*1000000)</f>
        <v>8.0305256284066537</v>
      </c>
      <c r="F264" s="161">
        <f>I232*'Gas Data'!H8*'Propulsion Subsystem Sizing'!$C$257/('Propulsion Subsystem Sizing'!$D$33*1000000)</f>
        <v>9.5957147279232657</v>
      </c>
    </row>
    <row r="265" spans="1:9" x14ac:dyDescent="0.25">
      <c r="A265" s="160" t="s">
        <v>102</v>
      </c>
      <c r="B265" s="224" t="s">
        <v>142</v>
      </c>
      <c r="C265" s="44">
        <f>I179*'Gas Data'!H9*'Propulsion Subsystem Sizing'!$C$257/('Propulsion Subsystem Sizing'!$D$33*1000000)</f>
        <v>0.24811820956540143</v>
      </c>
      <c r="D265" s="44">
        <f>I197*'Gas Data'!H9*'Propulsion Subsystem Sizing'!$C$257/('Propulsion Subsystem Sizing'!$D$33*1000000)</f>
        <v>2.2041669474332601</v>
      </c>
      <c r="E265" s="44">
        <f>I215*'Gas Data'!H9*'Propulsion Subsystem Sizing'!$C$257/('Propulsion Subsystem Sizing'!$D$33*1000000)</f>
        <v>2.144896824143494</v>
      </c>
      <c r="F265" s="161">
        <f>I233*'Gas Data'!H9*'Propulsion Subsystem Sizing'!$C$257/('Propulsion Subsystem Sizing'!$D$33*1000000)</f>
        <v>2.5629470107092027</v>
      </c>
    </row>
    <row r="266" spans="1:9" ht="30" x14ac:dyDescent="0.25">
      <c r="A266" s="160" t="s">
        <v>326</v>
      </c>
      <c r="B266" s="224" t="s">
        <v>143</v>
      </c>
      <c r="C266" s="44">
        <f>I180*'Gas Data'!H10*'Propulsion Subsystem Sizing'!$C$257/('Propulsion Subsystem Sizing'!$D$33*1000000)</f>
        <v>0.23109516024857829</v>
      </c>
      <c r="D266" s="44">
        <f>I198*'Gas Data'!H10*'Propulsion Subsystem Sizing'!$C$257/('Propulsion Subsystem Sizing'!$D$33*1000000)</f>
        <v>2.0528601465669749</v>
      </c>
      <c r="E266" s="44">
        <f>I216*'Gas Data'!H10*'Propulsion Subsystem Sizing'!$C$257/('Propulsion Subsystem Sizing'!$D$33*1000000)</f>
        <v>1.9976488889518378</v>
      </c>
      <c r="F266" s="161">
        <f>I234*'Gas Data'!H10*'Propulsion Subsystem Sizing'!$C$257/('Propulsion Subsystem Sizing'!$D$33*1000000)</f>
        <v>2.3869997152709366</v>
      </c>
    </row>
    <row r="267" spans="1:9" ht="30" x14ac:dyDescent="0.25">
      <c r="A267" s="160" t="s">
        <v>327</v>
      </c>
      <c r="B267" s="224" t="s">
        <v>144</v>
      </c>
      <c r="C267" s="44">
        <f>I181*'Gas Data'!H11*'Propulsion Subsystem Sizing'!$C$257/('Propulsion Subsystem Sizing'!$D$33*1000000)</f>
        <v>9.4516132519634963E-2</v>
      </c>
      <c r="D267" s="44">
        <f>I199*'Gas Data'!H11*'Propulsion Subsystem Sizing'!$C$257/('Propulsion Subsystem Sizing'!$D$33*1000000)</f>
        <v>0.83974614487645716</v>
      </c>
      <c r="E267" s="44">
        <f>I217*'Gas Data'!H11*'Propulsion Subsystem Sizing'!$C$257/('Propulsion Subsystem Sizing'!$D$33*1000000)</f>
        <v>0.81717831548401598</v>
      </c>
      <c r="F267" s="161">
        <f>I235*'Gas Data'!H11*'Propulsion Subsystem Sizing'!$C$257/('Propulsion Subsystem Sizing'!$D$33*1000000)</f>
        <v>0.9764501882491724</v>
      </c>
    </row>
    <row r="268" spans="1:9" ht="30" x14ac:dyDescent="0.25">
      <c r="A268" s="160" t="s">
        <v>328</v>
      </c>
      <c r="B268" s="224" t="s">
        <v>145</v>
      </c>
      <c r="C268" s="44">
        <f>I182*'Gas Data'!H12*'Propulsion Subsystem Sizing'!$C$257/('Propulsion Subsystem Sizing'!$D$33*1000000)</f>
        <v>0.12127374162810731</v>
      </c>
      <c r="D268" s="44">
        <f>I200*'Gas Data'!H12*'Propulsion Subsystem Sizing'!$C$257/('Propulsion Subsystem Sizing'!$D$33*1000000)</f>
        <v>1.0774943702995763</v>
      </c>
      <c r="E268" s="44">
        <f>I218*'Gas Data'!H12*'Propulsion Subsystem Sizing'!$C$257/('Propulsion Subsystem Sizing'!$D$33*1000000)</f>
        <v>1.0485389779831393</v>
      </c>
      <c r="F268" s="161">
        <f>I236*'Gas Data'!H12*'Propulsion Subsystem Sizing'!$C$257/('Propulsion Subsystem Sizing'!$D$33*1000000)</f>
        <v>1.2529041374371015</v>
      </c>
    </row>
    <row r="269" spans="1:9" ht="60" x14ac:dyDescent="0.25">
      <c r="A269" s="160" t="s">
        <v>329</v>
      </c>
      <c r="B269" s="224" t="s">
        <v>442</v>
      </c>
      <c r="C269" s="47">
        <f>(1/1100)*I183</f>
        <v>4.1608445945301724E-4</v>
      </c>
      <c r="D269" s="47">
        <f>(1/1100)*I201</f>
        <v>3.69833035556648E-3</v>
      </c>
      <c r="E269" s="47">
        <f>(1/1100)*I219</f>
        <v>3.5991241269874904E-3</v>
      </c>
      <c r="F269" s="225">
        <f>(1/1100)*I237</f>
        <v>4.3006115095158186E-3</v>
      </c>
    </row>
    <row r="270" spans="1:9" ht="30" x14ac:dyDescent="0.25">
      <c r="B270" s="224" t="s">
        <v>443</v>
      </c>
      <c r="C270" s="47">
        <f>(1/1100)*I184</f>
        <v>1.3632829005584581E-4</v>
      </c>
      <c r="D270" s="47">
        <f>(1/1100)*I202</f>
        <v>1.2117875836760018E-3</v>
      </c>
      <c r="E270" s="47">
        <f>(1/1100)*I220</f>
        <v>1.1792872853214344E-3</v>
      </c>
      <c r="F270" s="225">
        <f>(1/1100)*I238</f>
        <v>1.4091363425753976E-3</v>
      </c>
    </row>
    <row r="271" spans="1:9" x14ac:dyDescent="0.25">
      <c r="B271" s="224" t="s">
        <v>166</v>
      </c>
      <c r="C271" s="46">
        <f>(1/'ADN Prop Data'!C3)*'Propulsion Subsystem Sizing'!I185</f>
        <v>1.1374923882878499E-3</v>
      </c>
      <c r="D271" s="46">
        <f>(1/'ADN Prop Data'!C3)*'Propulsion Subsystem Sizing'!I203</f>
        <v>1.0109118573257962E-2</v>
      </c>
      <c r="E271" s="46">
        <f>(1/'ADN Prop Data'!C3)*'Propulsion Subsystem Sizing'!I221</f>
        <v>9.8377807644981809E-3</v>
      </c>
      <c r="F271" s="226">
        <f>(1/'ADN Prop Data'!C3)*'Propulsion Subsystem Sizing'!I239</f>
        <v>1.175521253795838E-2</v>
      </c>
    </row>
    <row r="272" spans="1:9" x14ac:dyDescent="0.25">
      <c r="B272" s="196" t="s">
        <v>167</v>
      </c>
      <c r="C272" s="46">
        <f>(1/'ADN Prop Data'!C4)*'Propulsion Subsystem Sizing'!I186</f>
        <v>1.2795755065331301E-3</v>
      </c>
      <c r="D272" s="46">
        <f>(1/'ADN Prop Data'!C4)*'Propulsion Subsystem Sizing'!I204</f>
        <v>1.1371544688134718E-2</v>
      </c>
      <c r="E272" s="46">
        <f>(1/'ADN Prop Data'!C4)*'Propulsion Subsystem Sizing'!I222</f>
        <v>1.1066287136014189E-2</v>
      </c>
      <c r="F272" s="226">
        <f>(1/'ADN Prop Data'!C4)*'Propulsion Subsystem Sizing'!I240</f>
        <v>1.3223160590907078E-2</v>
      </c>
    </row>
    <row r="273" spans="1:15" x14ac:dyDescent="0.25">
      <c r="B273" s="196" t="s">
        <v>168</v>
      </c>
      <c r="C273" s="46">
        <f>(1/'ADN Prop Data'!C5)*'Propulsion Subsystem Sizing'!I187</f>
        <v>1.1604979091953431E-3</v>
      </c>
      <c r="D273" s="46">
        <f>(1/'ADN Prop Data'!C5)*'Propulsion Subsystem Sizing'!I205</f>
        <v>1.0313651160943063E-2</v>
      </c>
      <c r="E273" s="46">
        <f>(1/'ADN Prop Data'!C5)*'Propulsion Subsystem Sizing'!I223</f>
        <v>1.0036832808363691E-2</v>
      </c>
      <c r="F273" s="226">
        <f>(1/'ADN Prop Data'!C5)*'Propulsion Subsystem Sizing'!I241</f>
        <v>1.1993060866734372E-2</v>
      </c>
    </row>
    <row r="274" spans="1:15" ht="30" x14ac:dyDescent="0.25">
      <c r="B274" s="196" t="s">
        <v>170</v>
      </c>
      <c r="C274" s="46">
        <f>(1/'ADN Prop Data'!C6)*'Propulsion Subsystem Sizing'!I188</f>
        <v>1.1788496242889353E-3</v>
      </c>
      <c r="D274" s="46">
        <f>(1/'ADN Prop Data'!C6)*'Propulsion Subsystem Sizing'!I206</f>
        <v>1.0476716761439782E-2</v>
      </c>
      <c r="E274" s="46">
        <f>(1/'ADN Prop Data'!C6)*'Propulsion Subsystem Sizing'!I224</f>
        <v>1.0195518042788005E-2</v>
      </c>
      <c r="F274" s="226">
        <f>(1/'ADN Prop Data'!C6)*'Propulsion Subsystem Sizing'!I242</f>
        <v>1.2182674608010393E-2</v>
      </c>
    </row>
    <row r="275" spans="1:15" ht="30" x14ac:dyDescent="0.25">
      <c r="B275" s="196" t="s">
        <v>489</v>
      </c>
      <c r="C275" s="46">
        <f>(1/'ADN Prop Data'!C7)*'Propulsion Subsystem Sizing'!I189</f>
        <v>1.2290113469437422E-4</v>
      </c>
      <c r="D275" s="46">
        <f>(1/'ADN Prop Data'!C7)*'Propulsion Subsystem Sizing'!I207</f>
        <v>1.0922394450179806E-3</v>
      </c>
      <c r="E275" s="46">
        <f>(1/'ADN Prop Data'!C7)*'Propulsion Subsystem Sizing'!I225</f>
        <v>1.0629219114122661E-3</v>
      </c>
      <c r="F275" s="226">
        <f>(1/'ADN Prop Data'!C7)*'Propulsion Subsystem Sizing'!I243</f>
        <v>1.2700906049274315E-3</v>
      </c>
    </row>
    <row r="276" spans="1:15" ht="30" x14ac:dyDescent="0.25">
      <c r="B276" s="196" t="s">
        <v>171</v>
      </c>
      <c r="C276" s="46">
        <f>(1/'ADN Prop Data'!C8)*'Propulsion Subsystem Sizing'!I190</f>
        <v>1.4291006817398208E-3</v>
      </c>
      <c r="D276" s="46">
        <f>(1/'ADN Prop Data'!C8)*'Propulsion Subsystem Sizing'!I208</f>
        <v>1.2700177275462779E-2</v>
      </c>
      <c r="E276" s="46">
        <f>(1/'ADN Prop Data'!C8)*'Propulsion Subsystem Sizing'!I226</f>
        <v>1.2359230975038715E-2</v>
      </c>
      <c r="F276" s="226">
        <f>(1/'ADN Prop Data'!C8)*'Propulsion Subsystem Sizing'!I244</f>
        <v>1.4768105345898378E-2</v>
      </c>
    </row>
    <row r="277" spans="1:15" ht="30.75" thickBot="1" x14ac:dyDescent="0.3">
      <c r="B277" s="197" t="s">
        <v>172</v>
      </c>
      <c r="C277" s="227">
        <f>(1/'ADN Prop Data'!C9)*'Propulsion Subsystem Sizing'!I191</f>
        <v>1.6291128943093883E-3</v>
      </c>
      <c r="D277" s="227">
        <f>(1/'ADN Prop Data'!C9)*'Propulsion Subsystem Sizing'!I209</f>
        <v>1.4478140211153562E-2</v>
      </c>
      <c r="E277" s="227">
        <f>(1/'ADN Prop Data'!C9)*'Propulsion Subsystem Sizing'!I227</f>
        <v>1.408952125384084E-2</v>
      </c>
      <c r="F277" s="228">
        <f>(1/'ADN Prop Data'!C9)*'Propulsion Subsystem Sizing'!I245</f>
        <v>1.6835638036620852E-2</v>
      </c>
    </row>
    <row r="283" spans="1:15" x14ac:dyDescent="0.25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C38" sqref="C38"/>
    </sheetView>
  </sheetViews>
  <sheetFormatPr defaultRowHeight="15" x14ac:dyDescent="0.25"/>
  <cols>
    <col min="1" max="1" width="41.42578125" bestFit="1" customWidth="1"/>
    <col min="2" max="2" width="19.140625" bestFit="1" customWidth="1"/>
    <col min="3" max="3" width="43.28515625" bestFit="1" customWidth="1"/>
    <col min="4" max="4" width="18.140625" bestFit="1" customWidth="1"/>
    <col min="5" max="5" width="21.7109375" bestFit="1" customWidth="1"/>
    <col min="6" max="6" width="18.140625" bestFit="1" customWidth="1"/>
    <col min="7" max="7" width="12.7109375" bestFit="1" customWidth="1"/>
    <col min="8" max="9" width="28.5703125" bestFit="1" customWidth="1"/>
    <col min="11" max="11" width="12.28515625" bestFit="1" customWidth="1"/>
    <col min="12" max="12" width="12" bestFit="1" customWidth="1"/>
  </cols>
  <sheetData>
    <row r="1" spans="1:12" ht="47.25" thickBot="1" x14ac:dyDescent="0.4">
      <c r="A1" s="115" t="s">
        <v>386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x14ac:dyDescent="0.25">
      <c r="A2" s="18"/>
      <c r="B2" s="77" t="s">
        <v>121</v>
      </c>
      <c r="C2" s="78" t="s">
        <v>122</v>
      </c>
      <c r="D2" s="78" t="s">
        <v>123</v>
      </c>
      <c r="E2" s="78" t="s">
        <v>124</v>
      </c>
      <c r="F2" s="78" t="s">
        <v>125</v>
      </c>
      <c r="G2" s="78" t="s">
        <v>126</v>
      </c>
      <c r="H2" s="79" t="s">
        <v>319</v>
      </c>
      <c r="J2" s="18"/>
      <c r="K2" s="85" t="s">
        <v>127</v>
      </c>
      <c r="L2" s="86">
        <v>0.1</v>
      </c>
    </row>
    <row r="3" spans="1:12" x14ac:dyDescent="0.25">
      <c r="A3" s="18" t="s">
        <v>128</v>
      </c>
      <c r="B3" s="80" t="s">
        <v>129</v>
      </c>
      <c r="C3" s="13" t="s">
        <v>130</v>
      </c>
      <c r="D3" s="13" t="s">
        <v>130</v>
      </c>
      <c r="E3" s="13" t="s">
        <v>131</v>
      </c>
      <c r="F3" s="13" t="s">
        <v>132</v>
      </c>
      <c r="G3" s="13" t="s">
        <v>133</v>
      </c>
      <c r="H3" s="81" t="s">
        <v>320</v>
      </c>
      <c r="J3" s="18"/>
      <c r="K3" s="87" t="s">
        <v>134</v>
      </c>
      <c r="L3" s="88">
        <v>250</v>
      </c>
    </row>
    <row r="4" spans="1:12" x14ac:dyDescent="0.25">
      <c r="A4" s="18"/>
      <c r="B4" s="80" t="s">
        <v>135</v>
      </c>
      <c r="C4" s="13">
        <v>346.15300000000002</v>
      </c>
      <c r="D4" s="13">
        <v>427.25099999999998</v>
      </c>
      <c r="E4" s="13">
        <v>5.1679999999999997E-2</v>
      </c>
      <c r="F4" s="13">
        <v>78.933000000000007</v>
      </c>
      <c r="G4" s="13">
        <v>51.677999999999997</v>
      </c>
      <c r="H4" s="81">
        <v>286.89999999999998</v>
      </c>
      <c r="J4" s="18"/>
      <c r="K4" s="87" t="s">
        <v>136</v>
      </c>
      <c r="L4" s="88">
        <v>5.851361377738145E-2</v>
      </c>
    </row>
    <row r="5" spans="1:12" ht="15.75" thickBot="1" x14ac:dyDescent="0.3">
      <c r="A5" s="18"/>
      <c r="B5" s="80" t="s">
        <v>137</v>
      </c>
      <c r="C5" s="13">
        <v>320.77300000000002</v>
      </c>
      <c r="D5" s="13">
        <v>343.64</v>
      </c>
      <c r="E5" s="13">
        <v>7.1529999999999996E-2</v>
      </c>
      <c r="F5" s="13">
        <v>57.030999999999999</v>
      </c>
      <c r="G5" s="13">
        <v>71.525000000000006</v>
      </c>
      <c r="H5" s="81">
        <v>208</v>
      </c>
      <c r="J5" s="18"/>
      <c r="K5" s="89" t="s">
        <v>138</v>
      </c>
      <c r="L5" s="90">
        <v>9.8066499999999994</v>
      </c>
    </row>
    <row r="6" spans="1:12" x14ac:dyDescent="0.25">
      <c r="A6" s="18"/>
      <c r="B6" s="80" t="s">
        <v>139</v>
      </c>
      <c r="C6" s="13">
        <v>269.34800000000001</v>
      </c>
      <c r="D6" s="13">
        <v>356.84500000000003</v>
      </c>
      <c r="E6" s="13">
        <v>5.6349999999999997E-2</v>
      </c>
      <c r="F6" s="13">
        <v>72.384</v>
      </c>
      <c r="G6" s="13">
        <v>56.353999999999999</v>
      </c>
      <c r="H6" s="81">
        <v>188.9</v>
      </c>
      <c r="I6" s="18"/>
      <c r="J6" s="18"/>
      <c r="K6" s="18"/>
      <c r="L6" s="18"/>
    </row>
    <row r="7" spans="1:12" x14ac:dyDescent="0.25">
      <c r="A7" s="18"/>
      <c r="B7" s="80" t="s">
        <v>140</v>
      </c>
      <c r="C7" s="13">
        <v>1013.875</v>
      </c>
      <c r="D7" s="13">
        <v>1085.6079999999999</v>
      </c>
      <c r="E7" s="13">
        <v>2.265E-2</v>
      </c>
      <c r="F7" s="13">
        <v>180.12100000000001</v>
      </c>
      <c r="G7" s="13">
        <v>22.646999999999998</v>
      </c>
      <c r="H7" s="81">
        <v>2077</v>
      </c>
      <c r="I7" s="18"/>
      <c r="J7" s="18"/>
      <c r="K7" s="18"/>
      <c r="L7" s="18"/>
    </row>
    <row r="8" spans="1:12" x14ac:dyDescent="0.25">
      <c r="A8" s="18"/>
      <c r="B8" s="80" t="s">
        <v>141</v>
      </c>
      <c r="C8" s="13">
        <v>1314.394</v>
      </c>
      <c r="D8" s="13">
        <v>1617.4559999999999</v>
      </c>
      <c r="E8" s="13">
        <v>1.3690000000000001E-2</v>
      </c>
      <c r="F8" s="13">
        <v>297.86599999999999</v>
      </c>
      <c r="G8" s="13">
        <v>13.695</v>
      </c>
      <c r="H8" s="81">
        <v>4124</v>
      </c>
      <c r="I8" s="18"/>
      <c r="J8" s="18"/>
      <c r="K8" s="18"/>
      <c r="L8" s="18"/>
    </row>
    <row r="9" spans="1:12" x14ac:dyDescent="0.25">
      <c r="A9" s="18"/>
      <c r="B9" s="80" t="s">
        <v>142</v>
      </c>
      <c r="C9" s="13">
        <v>1314.394</v>
      </c>
      <c r="D9" s="13">
        <v>434.43900000000002</v>
      </c>
      <c r="E9" s="13">
        <v>5.0819999999999997E-2</v>
      </c>
      <c r="F9" s="13">
        <v>80.260999999999996</v>
      </c>
      <c r="G9" s="13">
        <v>50.823</v>
      </c>
      <c r="H9" s="81">
        <v>296.8</v>
      </c>
      <c r="I9" s="18"/>
      <c r="J9" s="18"/>
      <c r="K9" s="18"/>
      <c r="L9" s="18"/>
    </row>
    <row r="10" spans="1:12" x14ac:dyDescent="0.25">
      <c r="A10" s="18"/>
      <c r="B10" s="80" t="s">
        <v>143</v>
      </c>
      <c r="C10" s="13">
        <v>328.73099999999999</v>
      </c>
      <c r="D10" s="13">
        <v>406.97699999999998</v>
      </c>
      <c r="E10" s="13">
        <v>5.4080000000000003E-2</v>
      </c>
      <c r="F10" s="13">
        <v>75.433999999999997</v>
      </c>
      <c r="G10" s="13">
        <v>54.076000000000001</v>
      </c>
      <c r="H10" s="81">
        <v>259.8</v>
      </c>
      <c r="I10" s="18"/>
      <c r="J10" s="18"/>
      <c r="K10" s="18"/>
      <c r="L10" s="18"/>
    </row>
    <row r="11" spans="1:12" x14ac:dyDescent="0.25">
      <c r="A11" s="18"/>
      <c r="B11" s="80" t="s">
        <v>144</v>
      </c>
      <c r="C11" s="13">
        <v>215.97</v>
      </c>
      <c r="D11" s="13">
        <v>800</v>
      </c>
      <c r="E11" s="13">
        <v>6.1499999999999999E-2</v>
      </c>
      <c r="F11" s="13">
        <v>101.5</v>
      </c>
      <c r="G11" s="13">
        <v>61.5</v>
      </c>
      <c r="H11" s="81">
        <v>143</v>
      </c>
      <c r="I11" s="18"/>
      <c r="J11" s="18"/>
      <c r="K11" s="18"/>
      <c r="L11" s="18"/>
    </row>
    <row r="12" spans="1:12" x14ac:dyDescent="0.25">
      <c r="A12" s="18"/>
      <c r="B12" s="80" t="s">
        <v>145</v>
      </c>
      <c r="C12" s="13">
        <v>251.22</v>
      </c>
      <c r="D12" s="13">
        <v>800</v>
      </c>
      <c r="E12" s="13">
        <v>5.3999999999999999E-2</v>
      </c>
      <c r="F12" s="13">
        <v>104.55</v>
      </c>
      <c r="G12" s="13">
        <v>54</v>
      </c>
      <c r="H12" s="81">
        <v>189</v>
      </c>
      <c r="I12" s="18"/>
      <c r="J12" s="18"/>
      <c r="K12" s="18"/>
      <c r="L12" s="18"/>
    </row>
    <row r="13" spans="1:12" s="35" customFormat="1" ht="15.75" thickBot="1" x14ac:dyDescent="0.3">
      <c r="B13" s="82" t="s">
        <v>338</v>
      </c>
      <c r="C13" s="83"/>
      <c r="D13" s="83"/>
      <c r="E13" s="83"/>
      <c r="F13" s="83"/>
      <c r="G13" s="83"/>
      <c r="H13" s="84">
        <v>1649.5</v>
      </c>
    </row>
    <row r="14" spans="1:12" ht="15.75" thickBot="1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ht="90" x14ac:dyDescent="0.25">
      <c r="A15" s="74" t="s">
        <v>121</v>
      </c>
      <c r="B15" s="53" t="s">
        <v>146</v>
      </c>
      <c r="C15" s="53" t="s">
        <v>147</v>
      </c>
      <c r="D15" s="53" t="s">
        <v>148</v>
      </c>
      <c r="E15" s="53" t="s">
        <v>149</v>
      </c>
      <c r="F15" s="53" t="s">
        <v>150</v>
      </c>
      <c r="G15" s="53" t="s">
        <v>151</v>
      </c>
      <c r="H15" s="53" t="s">
        <v>152</v>
      </c>
      <c r="I15" s="53" t="s">
        <v>153</v>
      </c>
      <c r="J15" s="75" t="s">
        <v>154</v>
      </c>
      <c r="K15" s="75" t="s">
        <v>155</v>
      </c>
      <c r="L15" s="76" t="s">
        <v>156</v>
      </c>
    </row>
    <row r="16" spans="1:12" x14ac:dyDescent="0.25">
      <c r="A16" s="55" t="s">
        <v>129</v>
      </c>
      <c r="B16" s="6"/>
      <c r="C16" s="6"/>
      <c r="D16" s="6"/>
      <c r="E16" s="6"/>
      <c r="F16" s="6"/>
      <c r="G16" s="6"/>
      <c r="H16" s="6"/>
      <c r="I16" s="6"/>
      <c r="J16" s="30"/>
      <c r="K16" s="6"/>
      <c r="L16" s="56"/>
    </row>
    <row r="17" spans="1:12" x14ac:dyDescent="0.25">
      <c r="A17" s="55" t="s">
        <v>135</v>
      </c>
      <c r="B17" s="6">
        <v>1.4</v>
      </c>
      <c r="C17" s="6">
        <v>2.5</v>
      </c>
      <c r="D17" s="6">
        <v>3.5</v>
      </c>
      <c r="E17" s="6">
        <v>0.16667000000000001</v>
      </c>
      <c r="F17" s="6">
        <v>0.28571000000000002</v>
      </c>
      <c r="G17" s="6">
        <v>0.83330000000000004</v>
      </c>
      <c r="H17" s="6">
        <v>0.63393999999999995</v>
      </c>
      <c r="I17" s="6">
        <v>0.52827999999999997</v>
      </c>
      <c r="J17" s="6">
        <v>1.2678799999999999</v>
      </c>
      <c r="K17" s="6">
        <v>0.57887</v>
      </c>
      <c r="L17" s="56">
        <v>0.81018999999999997</v>
      </c>
    </row>
    <row r="18" spans="1:12" x14ac:dyDescent="0.25">
      <c r="A18" s="55" t="s">
        <v>137</v>
      </c>
      <c r="B18" s="6">
        <v>1.6579999999999999</v>
      </c>
      <c r="C18" s="6">
        <v>1.5152000000000001</v>
      </c>
      <c r="D18" s="6">
        <v>2.5152000000000001</v>
      </c>
      <c r="E18" s="6">
        <v>0.24812000000000001</v>
      </c>
      <c r="F18" s="6">
        <v>0.39759</v>
      </c>
      <c r="G18" s="6">
        <v>0.75187999999999999</v>
      </c>
      <c r="H18" s="6">
        <v>0.64915</v>
      </c>
      <c r="I18" s="6">
        <v>0.48808000000000001</v>
      </c>
      <c r="J18" s="6">
        <v>1.2983</v>
      </c>
      <c r="K18" s="6">
        <v>0.56289</v>
      </c>
      <c r="L18" s="56">
        <v>0.93439000000000005</v>
      </c>
    </row>
    <row r="19" spans="1:12" x14ac:dyDescent="0.25">
      <c r="A19" s="55" t="s">
        <v>139</v>
      </c>
      <c r="B19" s="6">
        <v>1.288</v>
      </c>
      <c r="C19" s="6">
        <v>3.4483000000000001</v>
      </c>
      <c r="D19" s="6">
        <v>4.4482999999999997</v>
      </c>
      <c r="E19" s="6">
        <v>0.12664</v>
      </c>
      <c r="F19" s="6">
        <v>0.22481000000000001</v>
      </c>
      <c r="G19" s="6">
        <v>0.87336000000000003</v>
      </c>
      <c r="H19" s="6">
        <v>0.62692999999999999</v>
      </c>
      <c r="I19" s="6">
        <v>0.54754000000000003</v>
      </c>
      <c r="J19" s="6">
        <v>1.25387</v>
      </c>
      <c r="K19" s="6">
        <v>0.58589000000000002</v>
      </c>
      <c r="L19" s="56">
        <v>0.75580000000000003</v>
      </c>
    </row>
    <row r="20" spans="1:12" x14ac:dyDescent="0.25">
      <c r="A20" s="55" t="s">
        <v>140</v>
      </c>
      <c r="B20" s="6">
        <v>1.659</v>
      </c>
      <c r="C20" s="6">
        <v>1.5152000000000001</v>
      </c>
      <c r="D20" s="6">
        <v>2.5152000000000001</v>
      </c>
      <c r="E20" s="6">
        <v>0.24812000000000001</v>
      </c>
      <c r="F20" s="6">
        <v>0.39759</v>
      </c>
      <c r="G20" s="6">
        <v>0.75187999999999999</v>
      </c>
      <c r="H20" s="6">
        <v>0.64915</v>
      </c>
      <c r="I20" s="6">
        <v>0.48808000000000001</v>
      </c>
      <c r="J20" s="6">
        <v>1.2983</v>
      </c>
      <c r="K20" s="6">
        <v>0.56289</v>
      </c>
      <c r="L20" s="56">
        <v>0.93439000000000005</v>
      </c>
    </row>
    <row r="21" spans="1:12" x14ac:dyDescent="0.25">
      <c r="A21" s="55" t="s">
        <v>141</v>
      </c>
      <c r="B21" s="6">
        <v>1.405</v>
      </c>
      <c r="C21" s="6">
        <v>2.5</v>
      </c>
      <c r="D21" s="6">
        <v>3.5</v>
      </c>
      <c r="E21" s="6">
        <v>0.16667000000000001</v>
      </c>
      <c r="F21" s="6">
        <v>0.28571000000000002</v>
      </c>
      <c r="G21" s="6">
        <v>0.83330000000000004</v>
      </c>
      <c r="H21" s="6">
        <v>0.63393999999999995</v>
      </c>
      <c r="I21" s="6">
        <v>0.52827999999999997</v>
      </c>
      <c r="J21" s="6">
        <v>1.2678799999999999</v>
      </c>
      <c r="K21" s="6">
        <v>0.57887</v>
      </c>
      <c r="L21" s="56">
        <v>0.81018999999999997</v>
      </c>
    </row>
    <row r="22" spans="1:12" x14ac:dyDescent="0.25">
      <c r="A22" s="55" t="s">
        <v>142</v>
      </c>
      <c r="B22" s="6">
        <v>1.4</v>
      </c>
      <c r="C22" s="6">
        <v>2.5</v>
      </c>
      <c r="D22" s="6">
        <v>3.5</v>
      </c>
      <c r="E22" s="6">
        <v>0.16667000000000001</v>
      </c>
      <c r="F22" s="6">
        <v>0.28571000000000002</v>
      </c>
      <c r="G22" s="6">
        <v>0.83330000000000004</v>
      </c>
      <c r="H22" s="6">
        <v>0.63393999999999995</v>
      </c>
      <c r="I22" s="6">
        <v>0.52827999999999997</v>
      </c>
      <c r="J22" s="6">
        <v>1.2678799999999999</v>
      </c>
      <c r="K22" s="6">
        <v>0.57887</v>
      </c>
      <c r="L22" s="56">
        <v>0.81018999999999997</v>
      </c>
    </row>
    <row r="23" spans="1:12" ht="15.75" thickBot="1" x14ac:dyDescent="0.3">
      <c r="A23" s="99" t="s">
        <v>143</v>
      </c>
      <c r="B23" s="94">
        <v>1.395</v>
      </c>
      <c r="C23" s="59">
        <v>2.5</v>
      </c>
      <c r="D23" s="59">
        <v>3.5</v>
      </c>
      <c r="E23" s="59">
        <v>0.16667000000000001</v>
      </c>
      <c r="F23" s="59">
        <v>0.28571000000000002</v>
      </c>
      <c r="G23" s="59">
        <v>0.83330000000000004</v>
      </c>
      <c r="H23" s="59">
        <v>0.63393999999999995</v>
      </c>
      <c r="I23" s="59">
        <v>0.52827999999999997</v>
      </c>
      <c r="J23" s="59">
        <v>1.2678799999999999</v>
      </c>
      <c r="K23" s="59">
        <v>0.57887</v>
      </c>
      <c r="L23" s="60">
        <v>0.81018999999999997</v>
      </c>
    </row>
    <row r="24" spans="1:12" x14ac:dyDescent="0.25">
      <c r="A24" s="6" t="s">
        <v>144</v>
      </c>
      <c r="B24" s="6">
        <v>1.0940000000000001</v>
      </c>
    </row>
    <row r="25" spans="1:12" x14ac:dyDescent="0.25">
      <c r="A25" s="6" t="s">
        <v>145</v>
      </c>
      <c r="B25" s="6">
        <v>1.127</v>
      </c>
      <c r="D25" s="18"/>
      <c r="E25" s="18"/>
      <c r="F25" s="18"/>
      <c r="G25" s="18"/>
      <c r="H25" s="18"/>
      <c r="I25" s="18"/>
      <c r="J25" s="18"/>
      <c r="K25" s="18"/>
      <c r="L25" s="18"/>
    </row>
    <row r="26" spans="1:12" ht="15.75" thickBot="1" x14ac:dyDescent="0.3">
      <c r="D26" s="18"/>
      <c r="E26" s="18"/>
      <c r="F26" s="18"/>
      <c r="G26" s="18"/>
      <c r="H26" s="18"/>
      <c r="I26" s="18"/>
      <c r="J26" s="18"/>
      <c r="K26" s="18"/>
      <c r="L26" s="18"/>
    </row>
    <row r="27" spans="1:12" x14ac:dyDescent="0.25">
      <c r="A27" s="74"/>
      <c r="B27" s="178" t="s">
        <v>157</v>
      </c>
      <c r="C27" s="18" t="s">
        <v>158</v>
      </c>
      <c r="D27" s="18"/>
      <c r="E27" s="18"/>
      <c r="F27" s="18"/>
      <c r="G27" s="18"/>
      <c r="H27" s="18"/>
      <c r="I27" s="18"/>
      <c r="J27" s="18"/>
      <c r="K27" s="18"/>
      <c r="L27" s="19"/>
    </row>
    <row r="28" spans="1:12" x14ac:dyDescent="0.25">
      <c r="A28" s="55" t="s">
        <v>135</v>
      </c>
      <c r="B28" s="57">
        <v>39.997010129836113</v>
      </c>
      <c r="C28" s="18"/>
      <c r="D28" s="18"/>
      <c r="E28" s="18"/>
      <c r="F28" s="18"/>
      <c r="G28" s="18"/>
      <c r="H28" s="18"/>
      <c r="I28" s="18"/>
      <c r="J28" s="18"/>
      <c r="K28" s="18"/>
      <c r="L28" s="19"/>
    </row>
    <row r="29" spans="1:12" x14ac:dyDescent="0.25">
      <c r="A29" s="55" t="s">
        <v>137</v>
      </c>
      <c r="B29" s="57">
        <v>39.994358780402607</v>
      </c>
      <c r="C29" s="18"/>
      <c r="D29" s="18"/>
      <c r="E29" s="18"/>
      <c r="F29" s="18"/>
      <c r="G29" s="18"/>
      <c r="H29" s="18"/>
      <c r="I29" s="18"/>
      <c r="J29" s="18"/>
      <c r="K29" s="18"/>
      <c r="L29" s="19"/>
    </row>
    <row r="30" spans="1:12" x14ac:dyDescent="0.25">
      <c r="A30" s="55" t="s">
        <v>139</v>
      </c>
      <c r="B30" s="57">
        <v>39.98780374470266</v>
      </c>
      <c r="C30" s="18"/>
      <c r="D30" s="18"/>
      <c r="E30" s="18"/>
      <c r="F30" s="18"/>
      <c r="G30" s="18"/>
      <c r="H30" s="18"/>
      <c r="I30" s="18"/>
      <c r="J30" s="18"/>
      <c r="K30" s="18"/>
      <c r="L30" s="19"/>
    </row>
    <row r="31" spans="1:12" x14ac:dyDescent="0.25">
      <c r="A31" s="55" t="s">
        <v>140</v>
      </c>
      <c r="B31" s="57">
        <v>40.001856131067917</v>
      </c>
      <c r="C31" s="18"/>
      <c r="D31" s="18"/>
      <c r="E31" s="18"/>
      <c r="F31" s="18"/>
      <c r="G31" s="18"/>
      <c r="H31" s="18"/>
      <c r="I31" s="18"/>
      <c r="J31" s="18"/>
      <c r="K31" s="18"/>
      <c r="L31" s="19"/>
    </row>
    <row r="32" spans="1:12" x14ac:dyDescent="0.25">
      <c r="A32" s="55" t="s">
        <v>141</v>
      </c>
      <c r="B32" s="57">
        <v>40.004480148180775</v>
      </c>
      <c r="C32" s="18"/>
      <c r="D32" s="18"/>
      <c r="E32" s="18"/>
      <c r="F32" s="18"/>
      <c r="G32" s="18"/>
      <c r="H32" s="18"/>
      <c r="I32" s="18"/>
      <c r="J32" s="18"/>
      <c r="K32" s="18"/>
      <c r="L32" s="19"/>
    </row>
    <row r="33" spans="1:12" x14ac:dyDescent="0.25">
      <c r="A33" s="55" t="s">
        <v>142</v>
      </c>
      <c r="B33" s="57">
        <v>39.993130586818538</v>
      </c>
      <c r="C33" s="18"/>
      <c r="D33" s="18"/>
      <c r="E33" s="18"/>
      <c r="F33" s="18"/>
      <c r="G33" s="18"/>
      <c r="H33" s="18"/>
      <c r="I33" s="18"/>
      <c r="J33" s="18"/>
      <c r="K33" s="18"/>
      <c r="L33" s="19"/>
    </row>
    <row r="34" spans="1:12" ht="15.75" thickBot="1" x14ac:dyDescent="0.3">
      <c r="A34" s="62" t="s">
        <v>143</v>
      </c>
      <c r="B34" s="154">
        <v>39.976622942324681</v>
      </c>
      <c r="C34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11" sqref="B11"/>
    </sheetView>
  </sheetViews>
  <sheetFormatPr defaultRowHeight="15" x14ac:dyDescent="0.25"/>
  <cols>
    <col min="1" max="1" width="15.28515625" bestFit="1" customWidth="1"/>
    <col min="2" max="2" width="8.85546875" bestFit="1" customWidth="1"/>
    <col min="3" max="3" width="16.140625" bestFit="1" customWidth="1"/>
    <col min="4" max="4" width="14.5703125" bestFit="1" customWidth="1"/>
    <col min="5" max="5" width="23.85546875" bestFit="1" customWidth="1"/>
  </cols>
  <sheetData>
    <row r="1" spans="1:5" ht="24" thickBot="1" x14ac:dyDescent="0.4">
      <c r="A1" s="174" t="s">
        <v>178</v>
      </c>
    </row>
    <row r="2" spans="1:5" x14ac:dyDescent="0.25">
      <c r="A2" s="74"/>
      <c r="B2" s="98" t="s">
        <v>179</v>
      </c>
      <c r="C2" s="98" t="s">
        <v>343</v>
      </c>
      <c r="D2" s="98" t="s">
        <v>180</v>
      </c>
      <c r="E2" s="125" t="s">
        <v>181</v>
      </c>
    </row>
    <row r="3" spans="1:5" ht="30" x14ac:dyDescent="0.25">
      <c r="A3" s="133" t="s">
        <v>166</v>
      </c>
      <c r="B3" s="6">
        <v>247</v>
      </c>
      <c r="C3" s="6">
        <v>1380</v>
      </c>
      <c r="D3" s="6">
        <v>3340</v>
      </c>
      <c r="E3" s="56">
        <v>1700</v>
      </c>
    </row>
    <row r="4" spans="1:5" x14ac:dyDescent="0.25">
      <c r="A4" s="121" t="s">
        <v>167</v>
      </c>
      <c r="B4" s="6">
        <v>218</v>
      </c>
      <c r="C4" s="6">
        <v>1390</v>
      </c>
      <c r="D4" s="6">
        <v>2970</v>
      </c>
      <c r="E4" s="56">
        <v>1280</v>
      </c>
    </row>
    <row r="5" spans="1:5" ht="30" x14ac:dyDescent="0.25">
      <c r="A5" s="121" t="s">
        <v>168</v>
      </c>
      <c r="B5" s="6">
        <v>257</v>
      </c>
      <c r="C5" s="6">
        <v>1300</v>
      </c>
      <c r="D5" s="6">
        <v>3280</v>
      </c>
      <c r="E5" s="56">
        <v>1800</v>
      </c>
    </row>
    <row r="6" spans="1:5" ht="45" x14ac:dyDescent="0.25">
      <c r="A6" s="121" t="s">
        <v>170</v>
      </c>
      <c r="B6" s="6">
        <v>253</v>
      </c>
      <c r="C6" s="6">
        <v>1300</v>
      </c>
      <c r="D6" s="6">
        <v>3230</v>
      </c>
      <c r="E6" s="56">
        <v>1730</v>
      </c>
    </row>
    <row r="7" spans="1:5" ht="45" x14ac:dyDescent="0.25">
      <c r="A7" s="121" t="s">
        <v>489</v>
      </c>
      <c r="B7" s="6">
        <v>239</v>
      </c>
      <c r="C7" s="6">
        <v>13200</v>
      </c>
      <c r="D7" s="6">
        <v>3090</v>
      </c>
      <c r="E7" s="56">
        <v>1500</v>
      </c>
    </row>
    <row r="8" spans="1:5" ht="45" x14ac:dyDescent="0.25">
      <c r="A8" s="121" t="s">
        <v>171</v>
      </c>
      <c r="B8" s="6">
        <v>204</v>
      </c>
      <c r="C8" s="6">
        <v>1330</v>
      </c>
      <c r="D8" s="6">
        <v>2660</v>
      </c>
      <c r="E8" s="56">
        <v>1100</v>
      </c>
    </row>
    <row r="9" spans="1:5" ht="45.75" thickBot="1" x14ac:dyDescent="0.3">
      <c r="A9" s="134" t="s">
        <v>172</v>
      </c>
      <c r="B9" s="59">
        <v>238</v>
      </c>
      <c r="C9" s="59">
        <v>1000</v>
      </c>
      <c r="D9" s="59">
        <v>2330</v>
      </c>
      <c r="E9" s="60">
        <v>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42"/>
  <sheetViews>
    <sheetView topLeftCell="F1" zoomScaleNormal="100" workbookViewId="0">
      <selection activeCell="I11" sqref="I11"/>
    </sheetView>
  </sheetViews>
  <sheetFormatPr defaultRowHeight="15" x14ac:dyDescent="0.25"/>
  <cols>
    <col min="1" max="1" width="25.7109375" bestFit="1" customWidth="1"/>
    <col min="2" max="2" width="28" bestFit="1" customWidth="1"/>
    <col min="3" max="3" width="26.42578125" bestFit="1" customWidth="1"/>
    <col min="4" max="4" width="28.28515625" bestFit="1" customWidth="1"/>
    <col min="5" max="5" width="25.85546875" bestFit="1" customWidth="1"/>
    <col min="6" max="6" width="16" customWidth="1"/>
    <col min="9" max="9" width="25.140625" bestFit="1" customWidth="1"/>
    <col min="10" max="10" width="27.28515625" bestFit="1" customWidth="1"/>
    <col min="11" max="11" width="22" customWidth="1"/>
    <col min="12" max="12" width="15.5703125" customWidth="1"/>
    <col min="13" max="13" width="15" customWidth="1"/>
    <col min="14" max="14" width="24" customWidth="1"/>
    <col min="15" max="15" width="23.7109375" customWidth="1"/>
    <col min="16" max="16" width="24.28515625" customWidth="1"/>
    <col min="17" max="17" width="12.7109375" bestFit="1" customWidth="1"/>
    <col min="18" max="18" width="10.28515625" bestFit="1" customWidth="1"/>
  </cols>
  <sheetData>
    <row r="1" spans="1:18" ht="39.75" thickBot="1" x14ac:dyDescent="0.35">
      <c r="A1" s="175" t="s">
        <v>387</v>
      </c>
      <c r="B1" s="25"/>
      <c r="C1" s="25"/>
      <c r="D1" s="25"/>
      <c r="E1" s="25"/>
    </row>
    <row r="2" spans="1:18" x14ac:dyDescent="0.25">
      <c r="A2" s="9"/>
      <c r="B2" s="24"/>
      <c r="C2" s="24"/>
      <c r="D2" s="24"/>
      <c r="I2" s="92" t="s">
        <v>302</v>
      </c>
      <c r="J2" s="92" t="s">
        <v>306</v>
      </c>
      <c r="K2" s="92" t="s">
        <v>305</v>
      </c>
      <c r="L2" s="92" t="s">
        <v>307</v>
      </c>
      <c r="M2" s="92" t="s">
        <v>308</v>
      </c>
      <c r="N2" s="92" t="s">
        <v>310</v>
      </c>
    </row>
    <row r="3" spans="1:18" x14ac:dyDescent="0.25">
      <c r="A3" s="28" t="s">
        <v>284</v>
      </c>
      <c r="B3" s="25"/>
      <c r="C3" s="25"/>
      <c r="D3" s="25"/>
      <c r="E3" s="25"/>
      <c r="I3" s="92" t="s">
        <v>54</v>
      </c>
      <c r="J3" s="13">
        <f>'Propulsion Subsystem Sizing'!C36+'Propulsion Subsystem Sizing'!J2+J11</f>
        <v>7478100</v>
      </c>
      <c r="K3" s="13">
        <f>'Propulsion Subsystem Sizing'!C36+'Propulsion Subsystem Sizing'!J2</f>
        <v>7378100</v>
      </c>
      <c r="L3" s="91">
        <f>SQRT('Propulsion Subsystem Sizing'!$J$3/K3)*(SQRT(2*J3/(J3+K3))-1)</f>
        <v>24.696172673602373</v>
      </c>
      <c r="M3" s="91">
        <f>SQRT('Propulsion Subsystem Sizing'!$J$3/J3)*(1-SQRT(2*K3/(K3+J3)))</f>
        <v>24.613193272042921</v>
      </c>
      <c r="N3" s="16">
        <f>SQRT('Propulsion Subsystem Sizing'!$J$3/'LV Accuracies'!J3)</f>
        <v>7300.8430616021524</v>
      </c>
    </row>
    <row r="4" spans="1:18" ht="45" x14ac:dyDescent="0.25">
      <c r="A4" s="26" t="s">
        <v>285</v>
      </c>
      <c r="B4" s="25"/>
      <c r="C4" s="25"/>
      <c r="D4" s="25"/>
      <c r="E4" s="25"/>
      <c r="I4" s="92" t="s">
        <v>57</v>
      </c>
      <c r="J4" s="13">
        <f>K4+J16</f>
        <v>7458100</v>
      </c>
      <c r="K4" s="13">
        <f>K3</f>
        <v>7378100</v>
      </c>
      <c r="L4" s="91">
        <f>SQRT('Propulsion Subsystem Sizing'!$J$3/K4)*(SQRT(2*J4/(J4+K4))-1)</f>
        <v>19.79016515492555</v>
      </c>
      <c r="M4" s="91">
        <f>SQRT('Propulsion Subsystem Sizing'!$J$3/J4)*(1-SQRT(2*K4/(K4+J4)))</f>
        <v>19.736879882605141</v>
      </c>
      <c r="N4" s="16">
        <f>SQRT('Propulsion Subsystem Sizing'!$J$3/'LV Accuracies'!J4)</f>
        <v>7310.6256537373192</v>
      </c>
      <c r="O4" s="25"/>
      <c r="P4" s="25"/>
      <c r="Q4" s="25"/>
      <c r="R4" s="25"/>
    </row>
    <row r="5" spans="1:18" x14ac:dyDescent="0.25">
      <c r="A5" s="25"/>
      <c r="B5" s="6" t="s">
        <v>185</v>
      </c>
      <c r="C5" s="6"/>
      <c r="D5" s="6" t="s">
        <v>186</v>
      </c>
      <c r="E5" s="6"/>
      <c r="I5" s="92" t="s">
        <v>58</v>
      </c>
      <c r="J5" s="13">
        <f>K5+J21</f>
        <v>42344100</v>
      </c>
      <c r="K5" s="13">
        <f>'Propulsion Subsystem Sizing'!C63+'Propulsion Subsystem Sizing'!J2</f>
        <v>42164100</v>
      </c>
      <c r="L5" s="91">
        <f>SQRT('Propulsion Subsystem Sizing'!$J$3/K5)*(SQRT(2*J5/(J5+K5))-1)</f>
        <v>3.2727272582008795</v>
      </c>
      <c r="M5" s="91">
        <f>SQRT('Propulsion Subsystem Sizing'!$J$3/J5)*(1-SQRT(2*K5/(K5+J5)))</f>
        <v>3.2692436994761285</v>
      </c>
      <c r="N5" s="16">
        <f>SQRT('Propulsion Subsystem Sizing'!$J$3/'LV Accuracies'!J5)</f>
        <v>3068.1189557318421</v>
      </c>
      <c r="O5" s="25"/>
      <c r="P5" s="25"/>
      <c r="Q5" s="25"/>
      <c r="R5" s="25"/>
    </row>
    <row r="6" spans="1:18" x14ac:dyDescent="0.25">
      <c r="A6" s="25"/>
      <c r="B6" s="6"/>
      <c r="C6" s="6" t="s">
        <v>187</v>
      </c>
      <c r="D6" s="6" t="s">
        <v>188</v>
      </c>
      <c r="E6" s="6" t="s">
        <v>189</v>
      </c>
      <c r="I6" s="92" t="s">
        <v>59</v>
      </c>
      <c r="J6" s="13">
        <f>K6+J26</f>
        <v>42364100</v>
      </c>
      <c r="K6" s="13">
        <f>K5</f>
        <v>42164100</v>
      </c>
      <c r="L6" s="91">
        <f>SQRT('Propulsion Subsystem Sizing'!$J$3/K6)*(SQRT(2*J6/(J6+K6))-1)</f>
        <v>3.6352890082905138</v>
      </c>
      <c r="M6" s="91">
        <f>SQRT('Propulsion Subsystem Sizing'!$J$3/J6)*(1-SQRT(2*K6/(K6+J6)))</f>
        <v>3.6309908582859722</v>
      </c>
      <c r="N6" s="16">
        <f>SQRT('Propulsion Subsystem Sizing'!$J$3/'LV Accuracies'!J6)</f>
        <v>3067.3946440730761</v>
      </c>
      <c r="O6" s="25"/>
      <c r="P6" s="25"/>
      <c r="Q6" s="25"/>
      <c r="R6" s="25"/>
    </row>
    <row r="7" spans="1:18" x14ac:dyDescent="0.25">
      <c r="A7" s="25"/>
      <c r="B7" s="6" t="s">
        <v>190</v>
      </c>
      <c r="C7" s="6" t="s">
        <v>191</v>
      </c>
      <c r="D7" s="6" t="s">
        <v>192</v>
      </c>
      <c r="E7" s="6" t="s">
        <v>193</v>
      </c>
    </row>
    <row r="8" spans="1:18" x14ac:dyDescent="0.25">
      <c r="A8" s="25"/>
      <c r="B8" s="6" t="s">
        <v>194</v>
      </c>
      <c r="C8" s="6" t="s">
        <v>195</v>
      </c>
      <c r="D8" s="6" t="s">
        <v>191</v>
      </c>
      <c r="E8" s="6" t="s">
        <v>196</v>
      </c>
    </row>
    <row r="9" spans="1:18" x14ac:dyDescent="0.25">
      <c r="A9" s="25"/>
      <c r="B9" s="6" t="s">
        <v>197</v>
      </c>
      <c r="C9" s="6" t="s">
        <v>198</v>
      </c>
      <c r="D9" s="6" t="s">
        <v>199</v>
      </c>
      <c r="E9" s="6" t="s">
        <v>200</v>
      </c>
    </row>
    <row r="10" spans="1:18" x14ac:dyDescent="0.25">
      <c r="A10" s="29"/>
      <c r="B10" s="30" t="s">
        <v>295</v>
      </c>
      <c r="C10" s="30" t="s">
        <v>201</v>
      </c>
      <c r="D10" s="30" t="s">
        <v>202</v>
      </c>
      <c r="E10" s="30" t="s">
        <v>203</v>
      </c>
      <c r="F10" s="29"/>
      <c r="G10" s="29"/>
      <c r="H10" s="205"/>
      <c r="I10" s="206" t="s">
        <v>185</v>
      </c>
      <c r="J10" s="205" t="s">
        <v>296</v>
      </c>
    </row>
    <row r="11" spans="1:18" x14ac:dyDescent="0.25">
      <c r="A11" s="93"/>
      <c r="B11" s="38"/>
      <c r="C11" s="38"/>
      <c r="D11" s="23"/>
      <c r="H11" s="203" t="s">
        <v>54</v>
      </c>
      <c r="I11" s="6" t="s">
        <v>346</v>
      </c>
      <c r="J11" s="6">
        <v>100000</v>
      </c>
    </row>
    <row r="12" spans="1:18" x14ac:dyDescent="0.25">
      <c r="A12" s="28" t="s">
        <v>286</v>
      </c>
      <c r="B12" s="25"/>
      <c r="C12" s="25"/>
      <c r="D12" s="25"/>
      <c r="E12" s="25"/>
      <c r="H12" s="203"/>
      <c r="I12" s="6" t="s">
        <v>303</v>
      </c>
      <c r="J12" s="6">
        <v>7.5</v>
      </c>
    </row>
    <row r="13" spans="1:18" x14ac:dyDescent="0.25">
      <c r="A13" s="25"/>
      <c r="B13" s="7" t="s">
        <v>182</v>
      </c>
      <c r="C13" s="7" t="s">
        <v>204</v>
      </c>
      <c r="D13" s="7" t="s">
        <v>205</v>
      </c>
      <c r="E13" s="25"/>
      <c r="H13" s="203"/>
      <c r="I13" s="6" t="s">
        <v>304</v>
      </c>
      <c r="J13" s="6">
        <v>5.1999999999999998E-2</v>
      </c>
    </row>
    <row r="14" spans="1:18" x14ac:dyDescent="0.25">
      <c r="A14" s="25"/>
      <c r="B14" s="7" t="s">
        <v>206</v>
      </c>
      <c r="C14" s="6" t="s">
        <v>207</v>
      </c>
      <c r="D14" s="6" t="s">
        <v>208</v>
      </c>
      <c r="E14" s="25"/>
      <c r="H14" s="203"/>
      <c r="I14" s="6" t="s">
        <v>481</v>
      </c>
      <c r="J14" s="6">
        <v>0.06</v>
      </c>
    </row>
    <row r="15" spans="1:18" ht="30" x14ac:dyDescent="0.25">
      <c r="A15" s="25"/>
      <c r="B15" s="15" t="s">
        <v>209</v>
      </c>
      <c r="C15" s="6" t="s">
        <v>210</v>
      </c>
      <c r="D15" s="6" t="s">
        <v>211</v>
      </c>
      <c r="E15" s="25"/>
      <c r="H15" s="203"/>
      <c r="I15" s="6"/>
      <c r="J15" s="6" t="s">
        <v>297</v>
      </c>
    </row>
    <row r="16" spans="1:18" x14ac:dyDescent="0.25">
      <c r="A16" s="25"/>
      <c r="B16" s="6"/>
      <c r="C16" s="6" t="s">
        <v>212</v>
      </c>
      <c r="D16" s="6" t="s">
        <v>213</v>
      </c>
      <c r="E16" s="25"/>
      <c r="H16" s="203" t="s">
        <v>57</v>
      </c>
      <c r="I16" s="6" t="s">
        <v>346</v>
      </c>
      <c r="J16" s="6">
        <v>80000</v>
      </c>
    </row>
    <row r="17" spans="1:12" x14ac:dyDescent="0.25">
      <c r="A17" s="25"/>
      <c r="B17" s="7" t="s">
        <v>214</v>
      </c>
      <c r="C17" s="6" t="s">
        <v>207</v>
      </c>
      <c r="D17" s="6" t="s">
        <v>215</v>
      </c>
      <c r="E17" s="25"/>
      <c r="F17" s="25"/>
      <c r="H17" s="203"/>
      <c r="I17" s="6" t="s">
        <v>303</v>
      </c>
      <c r="J17" s="6">
        <v>7.5</v>
      </c>
      <c r="L17" s="27"/>
    </row>
    <row r="18" spans="1:12" x14ac:dyDescent="0.25">
      <c r="A18" s="25"/>
      <c r="B18" s="6" t="s">
        <v>216</v>
      </c>
      <c r="C18" s="6" t="s">
        <v>210</v>
      </c>
      <c r="D18" s="6" t="s">
        <v>215</v>
      </c>
      <c r="E18" s="25"/>
      <c r="F18" s="25"/>
      <c r="H18" s="203"/>
      <c r="I18" s="6" t="s">
        <v>304</v>
      </c>
      <c r="J18" s="6">
        <v>5.1999999999999998E-2</v>
      </c>
    </row>
    <row r="19" spans="1:12" x14ac:dyDescent="0.25">
      <c r="A19" s="25"/>
      <c r="B19" s="7" t="s">
        <v>183</v>
      </c>
      <c r="C19" s="6" t="s">
        <v>212</v>
      </c>
      <c r="D19" s="6" t="s">
        <v>217</v>
      </c>
      <c r="E19" s="25"/>
      <c r="F19" s="25"/>
      <c r="H19" s="203"/>
      <c r="I19" s="6" t="s">
        <v>481</v>
      </c>
      <c r="J19" s="6">
        <v>7.3999999999999996E-2</v>
      </c>
    </row>
    <row r="20" spans="1:12" x14ac:dyDescent="0.25">
      <c r="A20" s="25"/>
      <c r="B20" s="6" t="s">
        <v>218</v>
      </c>
      <c r="C20" s="6" t="s">
        <v>219</v>
      </c>
      <c r="D20" s="6" t="s">
        <v>220</v>
      </c>
      <c r="E20" s="25"/>
      <c r="F20" s="25"/>
      <c r="H20" s="203"/>
      <c r="I20" s="6"/>
      <c r="J20" s="6" t="s">
        <v>298</v>
      </c>
    </row>
    <row r="21" spans="1:12" x14ac:dyDescent="0.25">
      <c r="A21" s="25"/>
      <c r="B21" s="6"/>
      <c r="C21" s="6" t="s">
        <v>212</v>
      </c>
      <c r="D21" s="6" t="s">
        <v>221</v>
      </c>
      <c r="E21" s="25"/>
      <c r="F21" s="25"/>
      <c r="H21" s="203" t="s">
        <v>58</v>
      </c>
      <c r="I21" s="6" t="s">
        <v>346</v>
      </c>
      <c r="J21" s="6">
        <v>180000</v>
      </c>
    </row>
    <row r="22" spans="1:12" x14ac:dyDescent="0.25">
      <c r="A22" s="25"/>
      <c r="B22" s="6"/>
      <c r="C22" s="6" t="s">
        <v>222</v>
      </c>
      <c r="D22" s="6" t="s">
        <v>223</v>
      </c>
      <c r="E22" s="25"/>
      <c r="F22" s="25"/>
      <c r="H22" s="203"/>
      <c r="I22" s="6" t="s">
        <v>303</v>
      </c>
      <c r="J22" s="6">
        <v>7.5</v>
      </c>
    </row>
    <row r="23" spans="1:12" x14ac:dyDescent="0.25">
      <c r="A23" s="38"/>
      <c r="B23" s="38"/>
      <c r="C23" s="38"/>
      <c r="D23" s="23"/>
      <c r="E23" s="23"/>
      <c r="H23" s="203"/>
      <c r="I23" s="6" t="s">
        <v>304</v>
      </c>
      <c r="J23" s="6">
        <v>7.0000000000000007E-2</v>
      </c>
    </row>
    <row r="24" spans="1:12" x14ac:dyDescent="0.25">
      <c r="A24" s="28" t="s">
        <v>287</v>
      </c>
      <c r="B24" s="25"/>
      <c r="C24" s="25"/>
      <c r="D24" s="25"/>
      <c r="E24" s="25"/>
      <c r="F24" s="25"/>
      <c r="H24" s="203"/>
      <c r="I24" s="6" t="s">
        <v>481</v>
      </c>
      <c r="J24" s="6">
        <v>0.06</v>
      </c>
    </row>
    <row r="25" spans="1:12" ht="60" x14ac:dyDescent="0.25">
      <c r="A25" s="26" t="s">
        <v>288</v>
      </c>
      <c r="B25" s="6" t="s">
        <v>224</v>
      </c>
      <c r="C25" s="6" t="s">
        <v>225</v>
      </c>
      <c r="D25" s="6" t="s">
        <v>226</v>
      </c>
      <c r="E25" s="25"/>
      <c r="F25" s="25"/>
      <c r="H25" s="203"/>
      <c r="I25" s="6"/>
      <c r="J25" s="6" t="s">
        <v>299</v>
      </c>
    </row>
    <row r="26" spans="1:12" ht="60" x14ac:dyDescent="0.25">
      <c r="A26" s="26" t="s">
        <v>289</v>
      </c>
      <c r="B26" s="6" t="s">
        <v>227</v>
      </c>
      <c r="C26" s="6" t="s">
        <v>228</v>
      </c>
      <c r="D26" s="6" t="s">
        <v>229</v>
      </c>
      <c r="E26" s="25"/>
      <c r="F26" s="25"/>
      <c r="H26" s="203" t="s">
        <v>59</v>
      </c>
      <c r="I26" s="6" t="s">
        <v>346</v>
      </c>
      <c r="J26" s="6">
        <v>200000</v>
      </c>
    </row>
    <row r="27" spans="1:12" x14ac:dyDescent="0.25">
      <c r="A27" s="25"/>
      <c r="B27" s="6" t="s">
        <v>212</v>
      </c>
      <c r="C27" s="6" t="s">
        <v>213</v>
      </c>
      <c r="D27" s="6" t="s">
        <v>230</v>
      </c>
      <c r="E27" s="25"/>
      <c r="F27" s="25"/>
      <c r="H27" s="179"/>
      <c r="I27" s="6" t="s">
        <v>303</v>
      </c>
      <c r="J27" s="6">
        <v>7.5</v>
      </c>
    </row>
    <row r="28" spans="1:12" x14ac:dyDescent="0.25">
      <c r="H28" s="179"/>
      <c r="I28" s="6" t="s">
        <v>304</v>
      </c>
      <c r="J28" s="6">
        <v>7.4999999999999997E-2</v>
      </c>
    </row>
    <row r="29" spans="1:12" x14ac:dyDescent="0.25">
      <c r="A29" s="28" t="s">
        <v>235</v>
      </c>
      <c r="B29" s="7" t="s">
        <v>231</v>
      </c>
      <c r="C29" s="7" t="s">
        <v>232</v>
      </c>
      <c r="D29" s="7" t="s">
        <v>233</v>
      </c>
      <c r="E29" s="7" t="s">
        <v>234</v>
      </c>
      <c r="F29" s="7" t="s">
        <v>212</v>
      </c>
      <c r="H29" s="179"/>
      <c r="I29" s="6" t="s">
        <v>481</v>
      </c>
      <c r="J29" s="6">
        <v>7.3999999999999996E-2</v>
      </c>
    </row>
    <row r="30" spans="1:12" x14ac:dyDescent="0.25">
      <c r="A30" s="25"/>
      <c r="B30" s="6" t="s">
        <v>235</v>
      </c>
      <c r="C30" s="6" t="s">
        <v>236</v>
      </c>
      <c r="D30" s="6" t="s">
        <v>237</v>
      </c>
      <c r="E30" s="6" t="s">
        <v>238</v>
      </c>
      <c r="F30" s="6" t="s">
        <v>239</v>
      </c>
    </row>
    <row r="31" spans="1:12" x14ac:dyDescent="0.25">
      <c r="A31" s="25"/>
      <c r="B31" s="6" t="s">
        <v>240</v>
      </c>
      <c r="C31" s="6" t="s">
        <v>241</v>
      </c>
      <c r="D31" s="6" t="s">
        <v>241</v>
      </c>
      <c r="E31" s="6" t="s">
        <v>241</v>
      </c>
      <c r="F31" s="6" t="s">
        <v>242</v>
      </c>
    </row>
    <row r="32" spans="1:12" x14ac:dyDescent="0.25">
      <c r="A32" s="24"/>
      <c r="B32" s="24"/>
      <c r="C32" s="24"/>
      <c r="D32" s="24"/>
    </row>
    <row r="33" spans="1:5" x14ac:dyDescent="0.25">
      <c r="A33" s="28" t="s">
        <v>290</v>
      </c>
      <c r="B33" s="7" t="s">
        <v>224</v>
      </c>
      <c r="C33" s="7" t="s">
        <v>243</v>
      </c>
      <c r="D33" s="6"/>
      <c r="E33" s="6"/>
    </row>
    <row r="34" spans="1:5" x14ac:dyDescent="0.25">
      <c r="A34" s="25"/>
      <c r="B34" s="6" t="s">
        <v>244</v>
      </c>
      <c r="C34" s="6" t="s">
        <v>245</v>
      </c>
      <c r="D34" s="6"/>
      <c r="E34" s="6"/>
    </row>
    <row r="35" spans="1:5" x14ac:dyDescent="0.25">
      <c r="A35" s="25"/>
      <c r="B35" s="6" t="s">
        <v>246</v>
      </c>
      <c r="C35" s="6" t="s">
        <v>247</v>
      </c>
      <c r="D35" s="6"/>
      <c r="E35" s="6"/>
    </row>
    <row r="36" spans="1:5" x14ac:dyDescent="0.25">
      <c r="A36" s="25"/>
      <c r="B36" s="6" t="s">
        <v>248</v>
      </c>
      <c r="C36" s="6" t="s">
        <v>249</v>
      </c>
      <c r="D36" s="6"/>
      <c r="E36" s="6"/>
    </row>
    <row r="37" spans="1:5" x14ac:dyDescent="0.25">
      <c r="A37" s="25"/>
      <c r="B37" s="6" t="s">
        <v>212</v>
      </c>
      <c r="C37" s="6" t="s">
        <v>250</v>
      </c>
      <c r="D37" s="6"/>
      <c r="E37" s="6"/>
    </row>
    <row r="38" spans="1:5" x14ac:dyDescent="0.25">
      <c r="A38" s="25"/>
      <c r="B38" s="7" t="s">
        <v>224</v>
      </c>
      <c r="C38" s="6"/>
      <c r="D38" s="7" t="s">
        <v>251</v>
      </c>
      <c r="E38" s="7" t="s">
        <v>252</v>
      </c>
    </row>
    <row r="39" spans="1:5" x14ac:dyDescent="0.25">
      <c r="A39" s="25"/>
      <c r="B39" s="6" t="s">
        <v>253</v>
      </c>
      <c r="C39" s="6" t="s">
        <v>254</v>
      </c>
      <c r="D39" s="6" t="s">
        <v>255</v>
      </c>
      <c r="E39" s="6" t="s">
        <v>256</v>
      </c>
    </row>
    <row r="40" spans="1:5" x14ac:dyDescent="0.25">
      <c r="A40" s="25"/>
      <c r="B40" s="6"/>
      <c r="C40" s="6" t="s">
        <v>257</v>
      </c>
      <c r="D40" s="6" t="s">
        <v>255</v>
      </c>
      <c r="E40" s="6" t="s">
        <v>256</v>
      </c>
    </row>
    <row r="41" spans="1:5" x14ac:dyDescent="0.25">
      <c r="A41" s="25"/>
      <c r="B41" s="6"/>
      <c r="C41" s="6" t="s">
        <v>258</v>
      </c>
      <c r="D41" s="6" t="s">
        <v>255</v>
      </c>
      <c r="E41" s="6" t="s">
        <v>256</v>
      </c>
    </row>
    <row r="42" spans="1:5" x14ac:dyDescent="0.25">
      <c r="A42" s="25"/>
      <c r="B42" s="6" t="s">
        <v>259</v>
      </c>
      <c r="C42" s="6" t="s">
        <v>260</v>
      </c>
      <c r="D42" s="6" t="s">
        <v>255</v>
      </c>
      <c r="E42" s="6" t="s">
        <v>261</v>
      </c>
    </row>
    <row r="43" spans="1:5" x14ac:dyDescent="0.25">
      <c r="A43" s="25"/>
      <c r="B43" s="6"/>
      <c r="C43" s="6" t="s">
        <v>262</v>
      </c>
      <c r="D43" s="6"/>
      <c r="E43" s="6" t="s">
        <v>263</v>
      </c>
    </row>
    <row r="44" spans="1:5" x14ac:dyDescent="0.25">
      <c r="A44" s="24"/>
      <c r="B44" s="24"/>
      <c r="C44" s="24"/>
      <c r="D44" s="24"/>
    </row>
    <row r="45" spans="1:5" x14ac:dyDescent="0.25">
      <c r="A45" s="28" t="s">
        <v>291</v>
      </c>
      <c r="B45" s="7" t="s">
        <v>224</v>
      </c>
      <c r="C45" s="7"/>
      <c r="D45" s="7" t="s">
        <v>251</v>
      </c>
      <c r="E45" s="7" t="s">
        <v>252</v>
      </c>
    </row>
    <row r="46" spans="1:5" x14ac:dyDescent="0.25">
      <c r="A46" s="25"/>
      <c r="B46" s="6" t="s">
        <v>264</v>
      </c>
      <c r="C46" s="6" t="s">
        <v>254</v>
      </c>
      <c r="D46" s="6" t="s">
        <v>265</v>
      </c>
      <c r="E46" s="6" t="s">
        <v>256</v>
      </c>
    </row>
    <row r="47" spans="1:5" x14ac:dyDescent="0.25">
      <c r="A47" s="25"/>
      <c r="B47" s="6"/>
      <c r="C47" s="6" t="s">
        <v>257</v>
      </c>
      <c r="D47" s="6" t="s">
        <v>265</v>
      </c>
      <c r="E47" s="6" t="s">
        <v>256</v>
      </c>
    </row>
    <row r="48" spans="1:5" x14ac:dyDescent="0.25">
      <c r="A48" s="25"/>
      <c r="B48" s="6"/>
      <c r="C48" s="6" t="s">
        <v>258</v>
      </c>
      <c r="D48" s="6" t="s">
        <v>265</v>
      </c>
      <c r="E48" s="6" t="s">
        <v>256</v>
      </c>
    </row>
    <row r="49" spans="1:6" x14ac:dyDescent="0.25">
      <c r="A49" s="25"/>
      <c r="B49" s="6" t="s">
        <v>259</v>
      </c>
      <c r="C49" s="6" t="s">
        <v>260</v>
      </c>
      <c r="D49" s="6" t="s">
        <v>265</v>
      </c>
      <c r="E49" s="6" t="s">
        <v>261</v>
      </c>
    </row>
    <row r="50" spans="1:6" x14ac:dyDescent="0.25">
      <c r="A50" s="25"/>
      <c r="B50" s="6"/>
      <c r="C50" s="6" t="s">
        <v>262</v>
      </c>
      <c r="D50" s="6"/>
      <c r="E50" s="6" t="s">
        <v>266</v>
      </c>
    </row>
    <row r="51" spans="1:6" x14ac:dyDescent="0.25">
      <c r="A51" s="24"/>
      <c r="B51" s="24"/>
      <c r="C51" s="24"/>
      <c r="D51" s="23"/>
    </row>
    <row r="52" spans="1:6" x14ac:dyDescent="0.25">
      <c r="A52" s="28" t="s">
        <v>292</v>
      </c>
      <c r="B52" s="7" t="s">
        <v>267</v>
      </c>
      <c r="C52" s="7" t="s">
        <v>268</v>
      </c>
      <c r="D52" s="7"/>
      <c r="E52" s="25"/>
    </row>
    <row r="53" spans="1:6" x14ac:dyDescent="0.25">
      <c r="A53" s="25"/>
      <c r="B53" s="7"/>
      <c r="C53" s="7" t="s">
        <v>269</v>
      </c>
      <c r="D53" s="7" t="s">
        <v>270</v>
      </c>
      <c r="E53" s="25"/>
    </row>
    <row r="54" spans="1:6" x14ac:dyDescent="0.25">
      <c r="A54" s="25"/>
      <c r="B54" s="7" t="s">
        <v>271</v>
      </c>
      <c r="C54" s="6"/>
      <c r="D54" s="6"/>
      <c r="E54" s="25"/>
    </row>
    <row r="55" spans="1:6" x14ac:dyDescent="0.25">
      <c r="A55" s="25"/>
      <c r="B55" s="6" t="s">
        <v>272</v>
      </c>
      <c r="C55" s="6" t="s">
        <v>273</v>
      </c>
      <c r="D55" s="6" t="s">
        <v>273</v>
      </c>
      <c r="E55" s="25"/>
    </row>
    <row r="56" spans="1:6" x14ac:dyDescent="0.25">
      <c r="A56" s="25"/>
      <c r="B56" s="6" t="s">
        <v>274</v>
      </c>
      <c r="C56" s="6" t="s">
        <v>273</v>
      </c>
      <c r="D56" s="6" t="s">
        <v>275</v>
      </c>
      <c r="E56" s="25"/>
    </row>
    <row r="57" spans="1:6" x14ac:dyDescent="0.25">
      <c r="A57" s="25"/>
      <c r="B57" s="7" t="s">
        <v>276</v>
      </c>
      <c r="C57" s="6" t="s">
        <v>277</v>
      </c>
      <c r="D57" s="6" t="s">
        <v>277</v>
      </c>
      <c r="E57" s="25"/>
    </row>
    <row r="58" spans="1:6" x14ac:dyDescent="0.25">
      <c r="A58" s="24"/>
      <c r="B58" s="24"/>
      <c r="C58" s="23"/>
      <c r="D58" s="23"/>
    </row>
    <row r="59" spans="1:6" x14ac:dyDescent="0.25">
      <c r="A59" s="28" t="s">
        <v>293</v>
      </c>
      <c r="B59" s="7" t="s">
        <v>224</v>
      </c>
      <c r="C59" s="7" t="s">
        <v>278</v>
      </c>
      <c r="D59" s="25"/>
      <c r="E59" s="25"/>
    </row>
    <row r="60" spans="1:6" ht="30" x14ac:dyDescent="0.25">
      <c r="A60" s="26" t="s">
        <v>294</v>
      </c>
      <c r="B60" s="6" t="s">
        <v>279</v>
      </c>
      <c r="C60" s="6" t="s">
        <v>280</v>
      </c>
      <c r="D60" s="25"/>
      <c r="E60" s="25"/>
    </row>
    <row r="61" spans="1:6" x14ac:dyDescent="0.25">
      <c r="A61" s="25"/>
      <c r="B61" s="6" t="s">
        <v>281</v>
      </c>
      <c r="C61" s="6" t="s">
        <v>282</v>
      </c>
      <c r="D61" s="25"/>
      <c r="E61" s="25"/>
    </row>
    <row r="62" spans="1:6" x14ac:dyDescent="0.25">
      <c r="A62" s="25"/>
      <c r="B62" s="6" t="s">
        <v>283</v>
      </c>
      <c r="C62" s="6" t="s">
        <v>230</v>
      </c>
      <c r="D62" s="25"/>
      <c r="E62" s="25"/>
    </row>
    <row r="64" spans="1:6" ht="60" x14ac:dyDescent="0.25">
      <c r="A64" s="31"/>
      <c r="B64" s="32" t="s">
        <v>309</v>
      </c>
      <c r="C64" s="32" t="s">
        <v>311</v>
      </c>
      <c r="D64" s="32" t="s">
        <v>312</v>
      </c>
      <c r="E64" s="33" t="s">
        <v>64</v>
      </c>
      <c r="F64" s="33" t="s">
        <v>313</v>
      </c>
    </row>
    <row r="65" spans="1:6" x14ac:dyDescent="0.25">
      <c r="A65" s="33" t="s">
        <v>54</v>
      </c>
      <c r="B65" s="34">
        <f>M3+L3</f>
        <v>49.309365945645297</v>
      </c>
      <c r="C65" s="31">
        <f>2*N3*SIN(J13*PI()/180/2)</f>
        <v>6.6260347516026821</v>
      </c>
      <c r="D65" s="34">
        <f>C65+B65</f>
        <v>55.935400697247978</v>
      </c>
      <c r="E65" s="31">
        <v>0.25</v>
      </c>
      <c r="F65" s="31">
        <f>E65*D65+D65</f>
        <v>69.919250871559967</v>
      </c>
    </row>
    <row r="66" spans="1:6" x14ac:dyDescent="0.25">
      <c r="A66" s="7" t="s">
        <v>57</v>
      </c>
      <c r="B66" s="34">
        <f>M4+L4</f>
        <v>39.527045037530691</v>
      </c>
      <c r="C66" s="6">
        <f>2*N4*SIN(J18*PI()/180/2)</f>
        <v>6.6349131502891687</v>
      </c>
      <c r="D66" s="34">
        <f t="shared" ref="D66:D68" si="0">C66+B66</f>
        <v>46.161958187819863</v>
      </c>
      <c r="E66" s="31">
        <v>0.25</v>
      </c>
      <c r="F66" s="31">
        <f t="shared" ref="F66:F68" si="1">E66*D66+D66</f>
        <v>57.702447734774829</v>
      </c>
    </row>
    <row r="67" spans="1:6" x14ac:dyDescent="0.25">
      <c r="A67" s="7" t="s">
        <v>58</v>
      </c>
      <c r="B67" s="34">
        <f>M5+L5</f>
        <v>6.541970957677008</v>
      </c>
      <c r="C67" s="6">
        <f>2*N5*SIN(J23*PI()/180/2)</f>
        <v>3.748414200301859</v>
      </c>
      <c r="D67" s="34">
        <f t="shared" si="0"/>
        <v>10.290385157978868</v>
      </c>
      <c r="E67" s="31">
        <v>0.25</v>
      </c>
      <c r="F67" s="31">
        <f t="shared" si="1"/>
        <v>12.862981447473585</v>
      </c>
    </row>
    <row r="68" spans="1:6" x14ac:dyDescent="0.25">
      <c r="A68" s="7" t="s">
        <v>59</v>
      </c>
      <c r="B68" s="34">
        <f>M6+L6</f>
        <v>7.2662798665764861</v>
      </c>
      <c r="C68" s="6">
        <f>2*N6*SIN(J28*PI()/180/2)</f>
        <v>4.015209913118853</v>
      </c>
      <c r="D68" s="34">
        <f t="shared" si="0"/>
        <v>11.281489779695338</v>
      </c>
      <c r="E68" s="31">
        <v>0.25</v>
      </c>
      <c r="F68" s="31">
        <f t="shared" si="1"/>
        <v>14.101862224619172</v>
      </c>
    </row>
    <row r="70" spans="1:6" ht="90" x14ac:dyDescent="0.25">
      <c r="A70" s="45" t="s">
        <v>339</v>
      </c>
      <c r="B70" s="48" t="s">
        <v>340</v>
      </c>
      <c r="C70" s="46"/>
      <c r="D70" s="45" t="s">
        <v>345</v>
      </c>
      <c r="E70" s="7" t="s">
        <v>478</v>
      </c>
      <c r="F70" s="43" t="s">
        <v>477</v>
      </c>
    </row>
    <row r="71" spans="1:6" x14ac:dyDescent="0.25">
      <c r="A71" s="48" t="s">
        <v>54</v>
      </c>
      <c r="B71" s="46">
        <f>'Propulsion Subsystem Sizing'!$C$7+'Propulsion Subsystem Sizing'!$D$14*'Propulsion Subsystem Sizing'!$D$23</f>
        <v>671.05333194271486</v>
      </c>
      <c r="C71" s="46" t="s">
        <v>135</v>
      </c>
      <c r="D71" s="46">
        <f>$B$71*(EXP($F$65/'Propulsion Subsystem Sizing'!E153/'Propulsion Subsystem Sizing'!$J$5)-1)/1000</f>
        <v>6.3413434222202178E-2</v>
      </c>
      <c r="E71" s="31">
        <v>0.15</v>
      </c>
      <c r="F71" s="46">
        <f>E71*D71+D71</f>
        <v>7.292544935553251E-2</v>
      </c>
    </row>
    <row r="72" spans="1:6" x14ac:dyDescent="0.25">
      <c r="A72" s="46"/>
      <c r="B72" s="46"/>
      <c r="C72" s="46" t="s">
        <v>137</v>
      </c>
      <c r="D72" s="46">
        <f>$B$71*(EXP($F$65/'Propulsion Subsystem Sizing'!E154/'Propulsion Subsystem Sizing'!$J$5)-1)/1000</f>
        <v>8.9329308759689738E-2</v>
      </c>
      <c r="E72" s="31">
        <v>0.15</v>
      </c>
      <c r="F72" s="46">
        <f t="shared" ref="F72:F135" si="2">E72*D72+D72</f>
        <v>0.10272870507364319</v>
      </c>
    </row>
    <row r="73" spans="1:6" x14ac:dyDescent="0.25">
      <c r="A73" s="46"/>
      <c r="B73" s="46"/>
      <c r="C73" s="46" t="s">
        <v>139</v>
      </c>
      <c r="D73" s="46">
        <f>$B$71*(EXP($F$65/'Propulsion Subsystem Sizing'!E155/'Propulsion Subsystem Sizing'!$J$5)-1)/1000</f>
        <v>6.9438321522694468E-2</v>
      </c>
      <c r="E73" s="31">
        <v>0.15</v>
      </c>
      <c r="F73" s="46">
        <f t="shared" si="2"/>
        <v>7.9854069751098641E-2</v>
      </c>
    </row>
    <row r="74" spans="1:6" x14ac:dyDescent="0.25">
      <c r="A74" s="46"/>
      <c r="B74" s="46"/>
      <c r="C74" s="46" t="s">
        <v>140</v>
      </c>
      <c r="D74" s="46">
        <f>$B$71*(EXP($F$65/'Propulsion Subsystem Sizing'!E156/'Propulsion Subsystem Sizing'!$J$5)-1)/1000</f>
        <v>2.7085773597901777E-2</v>
      </c>
      <c r="E74" s="31">
        <v>0.15</v>
      </c>
      <c r="F74" s="46">
        <f t="shared" si="2"/>
        <v>3.1148639637587044E-2</v>
      </c>
    </row>
    <row r="75" spans="1:6" x14ac:dyDescent="0.25">
      <c r="A75" s="46"/>
      <c r="B75" s="46"/>
      <c r="C75" s="46" t="s">
        <v>141</v>
      </c>
      <c r="D75" s="46">
        <f>$B$71*(EXP($F$65/'Propulsion Subsystem Sizing'!E157/'Propulsion Subsystem Sizing'!$J$5)-1)/1000</f>
        <v>1.6250627211526425E-2</v>
      </c>
      <c r="E75" s="31">
        <v>0.15</v>
      </c>
      <c r="F75" s="46">
        <f t="shared" si="2"/>
        <v>1.868822129325539E-2</v>
      </c>
    </row>
    <row r="76" spans="1:6" x14ac:dyDescent="0.25">
      <c r="A76" s="46"/>
      <c r="B76" s="46"/>
      <c r="C76" s="46" t="s">
        <v>142</v>
      </c>
      <c r="D76" s="46">
        <f>$B$71*(EXP($F$65/'Propulsion Subsystem Sizing'!E158/'Propulsion Subsystem Sizing'!$J$5)-1)/1000</f>
        <v>6.2316929715410183E-2</v>
      </c>
      <c r="E76" s="31">
        <v>0.15</v>
      </c>
      <c r="F76" s="46">
        <f t="shared" si="2"/>
        <v>7.1664469172721706E-2</v>
      </c>
    </row>
    <row r="77" spans="1:6" x14ac:dyDescent="0.25">
      <c r="A77" s="46"/>
      <c r="B77" s="46"/>
      <c r="C77" s="46" t="s">
        <v>143</v>
      </c>
      <c r="D77" s="46">
        <f>$B$71*(EXP($F$65/'Propulsion Subsystem Sizing'!E159/'Propulsion Subsystem Sizing'!$J$5)-1)/1000</f>
        <v>6.6496110471955125E-2</v>
      </c>
      <c r="E77" s="31">
        <v>0.15</v>
      </c>
      <c r="F77" s="46">
        <f t="shared" si="2"/>
        <v>7.6470527042748399E-2</v>
      </c>
    </row>
    <row r="78" spans="1:6" x14ac:dyDescent="0.25">
      <c r="A78" s="46"/>
      <c r="B78" s="46"/>
      <c r="C78" s="46" t="s">
        <v>144</v>
      </c>
      <c r="D78" s="46">
        <f>$B$71*(EXP($F$65/'Propulsion Subsystem Sizing'!E160/'Propulsion Subsystem Sizing'!$J$5)-1)/1000</f>
        <v>4.8815314080925723E-2</v>
      </c>
      <c r="E78" s="31">
        <v>0.15</v>
      </c>
      <c r="F78" s="46">
        <f t="shared" si="2"/>
        <v>5.6137611193064582E-2</v>
      </c>
    </row>
    <row r="79" spans="1:6" x14ac:dyDescent="0.25">
      <c r="A79" s="46"/>
      <c r="B79" s="46"/>
      <c r="C79" s="46" t="s">
        <v>145</v>
      </c>
      <c r="D79" s="46">
        <f>$B$71*(EXP($F$65/'Propulsion Subsystem Sizing'!E161/'Propulsion Subsystem Sizing'!$J$5)-1)/1000</f>
        <v>4.7342167284896396E-2</v>
      </c>
      <c r="E79" s="31">
        <v>0.15</v>
      </c>
      <c r="F79" s="46">
        <f t="shared" si="2"/>
        <v>5.4443492377630853E-2</v>
      </c>
    </row>
    <row r="80" spans="1:6" x14ac:dyDescent="0.25">
      <c r="A80" s="46"/>
      <c r="B80" s="46"/>
      <c r="C80" s="46" t="s">
        <v>173</v>
      </c>
      <c r="D80" s="46">
        <f>$B$71*(EXP($F$65/'Propulsion Subsystem Sizing'!E162/'Propulsion Subsystem Sizing'!$J$5)-1)/1000</f>
        <v>5.6706118376255556E-3</v>
      </c>
      <c r="E80" s="31">
        <v>0.15</v>
      </c>
      <c r="F80" s="46">
        <f t="shared" si="2"/>
        <v>6.521203613269389E-3</v>
      </c>
    </row>
    <row r="81" spans="1:6" x14ac:dyDescent="0.25">
      <c r="A81" s="46"/>
      <c r="B81" s="46"/>
      <c r="C81" s="46" t="s">
        <v>174</v>
      </c>
      <c r="D81" s="46">
        <f>$B$71*(EXP($F$65/'Propulsion Subsystem Sizing'!E163/'Propulsion Subsystem Sizing'!$J$5)-1)/1000</f>
        <v>1.8527767971399242E-3</v>
      </c>
      <c r="E81" s="31">
        <v>0.15</v>
      </c>
      <c r="F81" s="46">
        <f t="shared" si="2"/>
        <v>2.1306933167109126E-3</v>
      </c>
    </row>
    <row r="82" spans="1:6" x14ac:dyDescent="0.25">
      <c r="A82" s="46"/>
      <c r="B82" s="46"/>
      <c r="C82" s="47" t="s">
        <v>166</v>
      </c>
      <c r="D82" s="46">
        <f>$B$71*(EXP($F$65/'Propulsion Subsystem Sizing'!E165/'Propulsion Subsystem Sizing'!$J$5)-1)/1000</f>
        <v>1.9645759994908571E-2</v>
      </c>
      <c r="E82" s="31">
        <v>0.15</v>
      </c>
      <c r="F82" s="46">
        <f t="shared" si="2"/>
        <v>2.2592623994144856E-2</v>
      </c>
    </row>
    <row r="83" spans="1:6" x14ac:dyDescent="0.25">
      <c r="A83" s="46"/>
      <c r="B83" s="46"/>
      <c r="C83" s="47" t="s">
        <v>167</v>
      </c>
      <c r="D83" s="46">
        <f>$B$71*(EXP($F$65/'Propulsion Subsystem Sizing'!E166/'Propulsion Subsystem Sizing'!$J$5)-1)/1000</f>
        <v>2.230216935724404E-2</v>
      </c>
      <c r="E83" s="31">
        <v>0.15</v>
      </c>
      <c r="F83" s="46">
        <f t="shared" si="2"/>
        <v>2.5647494760830645E-2</v>
      </c>
    </row>
    <row r="84" spans="1:6" x14ac:dyDescent="0.25">
      <c r="A84" s="46"/>
      <c r="B84" s="46"/>
      <c r="C84" s="47" t="s">
        <v>168</v>
      </c>
      <c r="D84" s="46">
        <f>$B$71*(EXP($F$65/'Propulsion Subsystem Sizing'!E167/'Propulsion Subsystem Sizing'!$J$5)-1)/1000</f>
        <v>1.8870686688254049E-2</v>
      </c>
      <c r="E84" s="31">
        <v>0.15</v>
      </c>
      <c r="F84" s="46">
        <f t="shared" si="2"/>
        <v>2.1701289691492157E-2</v>
      </c>
    </row>
    <row r="85" spans="1:6" ht="30" x14ac:dyDescent="0.25">
      <c r="A85" s="46"/>
      <c r="B85" s="46"/>
      <c r="C85" s="47" t="s">
        <v>170</v>
      </c>
      <c r="D85" s="46">
        <f>$B$71*(EXP($F$65/'Propulsion Subsystem Sizing'!E168/'Propulsion Subsystem Sizing'!$J$5)-1)/1000</f>
        <v>1.9173259976647355E-2</v>
      </c>
      <c r="E85" s="31">
        <v>0.15</v>
      </c>
      <c r="F85" s="46">
        <f t="shared" si="2"/>
        <v>2.2049248973144458E-2</v>
      </c>
    </row>
    <row r="86" spans="1:6" ht="30" x14ac:dyDescent="0.25">
      <c r="A86" s="46"/>
      <c r="B86" s="46"/>
      <c r="C86" s="47" t="s">
        <v>169</v>
      </c>
      <c r="D86" s="46">
        <f>$B$71*(EXP($F$65/'Propulsion Subsystem Sizing'!E169/'Propulsion Subsystem Sizing'!$J$5)-1)/1000</f>
        <v>2.0313214289688099E-2</v>
      </c>
      <c r="E86" s="31">
        <v>0.15</v>
      </c>
      <c r="F86" s="46">
        <f t="shared" si="2"/>
        <v>2.3360196433141314E-2</v>
      </c>
    </row>
    <row r="87" spans="1:6" ht="30" x14ac:dyDescent="0.25">
      <c r="A87" s="46"/>
      <c r="B87" s="46"/>
      <c r="C87" s="47" t="s">
        <v>171</v>
      </c>
      <c r="D87" s="46">
        <f>$B$71*(EXP($F$65/'Propulsion Subsystem Sizing'!E170/'Propulsion Subsystem Sizing'!$J$5)-1)/1000</f>
        <v>2.3859613245374698E-2</v>
      </c>
      <c r="E87" s="31">
        <v>0.15</v>
      </c>
      <c r="F87" s="46">
        <f t="shared" si="2"/>
        <v>2.7438555232180903E-2</v>
      </c>
    </row>
    <row r="88" spans="1:6" ht="30" x14ac:dyDescent="0.25">
      <c r="A88" s="46"/>
      <c r="B88" s="46"/>
      <c r="C88" s="47" t="s">
        <v>172</v>
      </c>
      <c r="D88" s="46">
        <f>$B$71*(EXP($F$65/'Propulsion Subsystem Sizing'!E171/'Propulsion Subsystem Sizing'!$J$5)-1)/1000</f>
        <v>2.0399848310522193E-2</v>
      </c>
      <c r="E88" s="31">
        <v>0.15</v>
      </c>
      <c r="F88" s="46">
        <f t="shared" si="2"/>
        <v>2.3459825557100522E-2</v>
      </c>
    </row>
    <row r="89" spans="1:6" x14ac:dyDescent="0.25">
      <c r="A89" s="48" t="s">
        <v>57</v>
      </c>
      <c r="B89" s="46">
        <f>'Propulsion Subsystem Sizing'!$C$7+'Propulsion Subsystem Sizing'!$D$14*'Propulsion Subsystem Sizing'!$D$23</f>
        <v>671.05333194271486</v>
      </c>
      <c r="C89" s="46" t="s">
        <v>135</v>
      </c>
      <c r="D89" s="46">
        <f>$B$89*(EXP($F$66/'Propulsion Subsystem Sizing'!E153/'Propulsion Subsystem Sizing'!$J$5)-1)/1000</f>
        <v>5.1916537320459567E-2</v>
      </c>
      <c r="E89" s="31">
        <v>0.15</v>
      </c>
      <c r="F89" s="46">
        <f t="shared" si="2"/>
        <v>5.9704017918528501E-2</v>
      </c>
    </row>
    <row r="90" spans="1:6" x14ac:dyDescent="0.25">
      <c r="A90" s="46"/>
      <c r="B90" s="46"/>
      <c r="C90" s="46" t="s">
        <v>137</v>
      </c>
      <c r="D90" s="46">
        <f>$B$89*(EXP($F$66/'Propulsion Subsystem Sizing'!E154/'Propulsion Subsystem Sizing'!$J$5)-1)/1000</f>
        <v>7.2905392306857844E-2</v>
      </c>
      <c r="E90" s="31">
        <v>0.15</v>
      </c>
      <c r="F90" s="46">
        <f t="shared" si="2"/>
        <v>8.3841201152886513E-2</v>
      </c>
    </row>
    <row r="91" spans="1:6" x14ac:dyDescent="0.25">
      <c r="A91" s="46"/>
      <c r="B91" s="46"/>
      <c r="C91" s="46" t="s">
        <v>139</v>
      </c>
      <c r="D91" s="46">
        <f>$B$89*(EXP($F$66/'Propulsion Subsystem Sizing'!E155/'Propulsion Subsystem Sizing'!$J$5)-1)/1000</f>
        <v>5.6807384499365614E-2</v>
      </c>
      <c r="E91" s="31">
        <v>0.15</v>
      </c>
      <c r="F91" s="46">
        <f t="shared" si="2"/>
        <v>6.5328492174270461E-2</v>
      </c>
    </row>
    <row r="92" spans="1:6" x14ac:dyDescent="0.25">
      <c r="A92" s="46"/>
      <c r="B92" s="46"/>
      <c r="C92" s="46" t="s">
        <v>140</v>
      </c>
      <c r="D92" s="46">
        <f>$B$89*(EXP($F$66/'Propulsion Subsystem Sizing'!E156/'Propulsion Subsystem Sizing'!$J$5)-1)/1000</f>
        <v>2.2275545056067693E-2</v>
      </c>
      <c r="E92" s="31">
        <v>0.15</v>
      </c>
      <c r="F92" s="46">
        <f t="shared" si="2"/>
        <v>2.5616876814477847E-2</v>
      </c>
    </row>
    <row r="93" spans="1:6" x14ac:dyDescent="0.25">
      <c r="A93" s="46"/>
      <c r="B93" s="46"/>
      <c r="C93" s="46" t="s">
        <v>141</v>
      </c>
      <c r="D93" s="46">
        <f>$B$89*(EXP($F$66/'Propulsion Subsystem Sizing'!E157/'Propulsion Subsystem Sizing'!$J$5)-1)/1000</f>
        <v>1.338309087124845E-2</v>
      </c>
      <c r="E93" s="31">
        <v>0.15</v>
      </c>
      <c r="F93" s="46">
        <f t="shared" si="2"/>
        <v>1.5390554501935718E-2</v>
      </c>
    </row>
    <row r="94" spans="1:6" x14ac:dyDescent="0.25">
      <c r="A94" s="46"/>
      <c r="B94" s="46"/>
      <c r="C94" s="46" t="s">
        <v>142</v>
      </c>
      <c r="D94" s="46">
        <f>$B$89*(EXP($F$66/'Propulsion Subsystem Sizing'!E158/'Propulsion Subsystem Sizing'!$J$5)-1)/1000</f>
        <v>5.1025670851803699E-2</v>
      </c>
      <c r="E94" s="31">
        <v>0.15</v>
      </c>
      <c r="F94" s="46">
        <f t="shared" si="2"/>
        <v>5.8679521479574254E-2</v>
      </c>
    </row>
    <row r="95" spans="1:6" x14ac:dyDescent="0.25">
      <c r="A95" s="46"/>
      <c r="B95" s="46"/>
      <c r="C95" s="46" t="s">
        <v>143</v>
      </c>
      <c r="D95" s="46">
        <f>$B$89*(EXP($F$66/'Propulsion Subsystem Sizing'!E159/'Propulsion Subsystem Sizing'!$J$5)-1)/1000</f>
        <v>5.4419846085620692E-2</v>
      </c>
      <c r="E95" s="31">
        <v>0.15</v>
      </c>
      <c r="F95" s="46">
        <f t="shared" si="2"/>
        <v>6.2582822998463794E-2</v>
      </c>
    </row>
    <row r="96" spans="1:6" x14ac:dyDescent="0.25">
      <c r="A96" s="46"/>
      <c r="B96" s="46"/>
      <c r="C96" s="46" t="s">
        <v>144</v>
      </c>
      <c r="D96" s="46">
        <f>$B$89*(EXP($F$66/'Propulsion Subsystem Sizing'!E160/'Propulsion Subsystem Sizing'!$J$5)-1)/1000</f>
        <v>4.0036936706036731E-2</v>
      </c>
      <c r="E96" s="31">
        <v>0.15</v>
      </c>
      <c r="F96" s="46">
        <f t="shared" si="2"/>
        <v>4.604247721194224E-2</v>
      </c>
    </row>
    <row r="97" spans="1:6" x14ac:dyDescent="0.25">
      <c r="A97" s="46"/>
      <c r="B97" s="46"/>
      <c r="C97" s="46" t="s">
        <v>145</v>
      </c>
      <c r="D97" s="46">
        <f>$B$89*(EXP($F$66/'Propulsion Subsystem Sizing'!E161/'Propulsion Subsystem Sizing'!$J$5)-1)/1000</f>
        <v>3.8835799356219551E-2</v>
      </c>
      <c r="E97" s="31">
        <v>0.15</v>
      </c>
      <c r="F97" s="46">
        <f t="shared" si="2"/>
        <v>4.4661169259652481E-2</v>
      </c>
    </row>
    <row r="98" spans="1:6" x14ac:dyDescent="0.25">
      <c r="A98" s="46"/>
      <c r="B98" s="46"/>
      <c r="C98" s="46" t="s">
        <v>173</v>
      </c>
      <c r="D98" s="46">
        <f>$B$89*(EXP($F$66/'Propulsion Subsystem Sizing'!E162/'Propulsion Subsystem Sizing'!$J$5)-1)/1000</f>
        <v>4.6763575580909596E-3</v>
      </c>
      <c r="E98" s="31">
        <v>0.15</v>
      </c>
      <c r="F98" s="46">
        <f t="shared" si="2"/>
        <v>5.3778111918046032E-3</v>
      </c>
    </row>
    <row r="99" spans="1:6" x14ac:dyDescent="0.25">
      <c r="A99" s="46"/>
      <c r="B99" s="46"/>
      <c r="C99" s="46" t="s">
        <v>174</v>
      </c>
      <c r="D99" s="46">
        <f>$B$89*(EXP($F$66/'Propulsion Subsystem Sizing'!E163/'Propulsion Subsystem Sizing'!$J$5)-1)/1000</f>
        <v>1.5286776533167414E-3</v>
      </c>
      <c r="E99" s="31">
        <v>0.15</v>
      </c>
      <c r="F99" s="46">
        <f t="shared" si="2"/>
        <v>1.7579793013142526E-3</v>
      </c>
    </row>
    <row r="100" spans="1:6" x14ac:dyDescent="0.25">
      <c r="A100" s="46"/>
      <c r="B100" s="46"/>
      <c r="C100" s="47" t="s">
        <v>166</v>
      </c>
      <c r="D100" s="46">
        <f>$B$89*(EXP($F$66/'Propulsion Subsystem Sizing'!E165/'Propulsion Subsystem Sizing'!$J$5)-1)/1000</f>
        <v>1.6172109398721251E-2</v>
      </c>
      <c r="E100" s="31">
        <v>0.15</v>
      </c>
      <c r="F100" s="46">
        <f t="shared" si="2"/>
        <v>1.8597925808529439E-2</v>
      </c>
    </row>
    <row r="101" spans="1:6" x14ac:dyDescent="0.25">
      <c r="A101" s="46"/>
      <c r="B101" s="46"/>
      <c r="C101" s="47" t="s">
        <v>167</v>
      </c>
      <c r="D101" s="46">
        <f>$B$89*(EXP($F$66/'Propulsion Subsystem Sizing'!E166/'Propulsion Subsystem Sizing'!$J$5)-1)/1000</f>
        <v>1.8352614406864733E-2</v>
      </c>
      <c r="E101" s="31">
        <v>0.15</v>
      </c>
      <c r="F101" s="46">
        <f t="shared" si="2"/>
        <v>2.1105506567894443E-2</v>
      </c>
    </row>
    <row r="102" spans="1:6" x14ac:dyDescent="0.25">
      <c r="A102" s="46"/>
      <c r="B102" s="46"/>
      <c r="C102" s="47" t="s">
        <v>168</v>
      </c>
      <c r="D102" s="46">
        <f>$B$89*(EXP($F$66/'Propulsion Subsystem Sizing'!E167/'Propulsion Subsystem Sizing'!$J$5)-1)/1000</f>
        <v>1.5535617050873031E-2</v>
      </c>
      <c r="E102" s="31">
        <v>0.15</v>
      </c>
      <c r="F102" s="46">
        <f t="shared" si="2"/>
        <v>1.7865959608503984E-2</v>
      </c>
    </row>
    <row r="103" spans="1:6" ht="30" x14ac:dyDescent="0.25">
      <c r="A103" s="46"/>
      <c r="B103" s="46"/>
      <c r="C103" s="47" t="s">
        <v>170</v>
      </c>
      <c r="D103" s="46">
        <f>$B$89*(EXP($F$66/'Propulsion Subsystem Sizing'!E168/'Propulsion Subsystem Sizing'!$J$5)-1)/1000</f>
        <v>1.5784105932999067E-2</v>
      </c>
      <c r="E103" s="31">
        <v>0.15</v>
      </c>
      <c r="F103" s="46">
        <f t="shared" si="2"/>
        <v>1.8151721822948927E-2</v>
      </c>
    </row>
    <row r="104" spans="1:6" ht="30" x14ac:dyDescent="0.25">
      <c r="A104" s="46"/>
      <c r="B104" s="46"/>
      <c r="C104" s="47" t="s">
        <v>169</v>
      </c>
      <c r="D104" s="46">
        <f>$B$89*(EXP($F$66/'Propulsion Subsystem Sizing'!E169/'Propulsion Subsystem Sizing'!$J$5)-1)/1000</f>
        <v>1.6720124710642027E-2</v>
      </c>
      <c r="E104" s="31">
        <v>0.15</v>
      </c>
      <c r="F104" s="46">
        <f t="shared" si="2"/>
        <v>1.922814341723833E-2</v>
      </c>
    </row>
    <row r="105" spans="1:6" ht="30" x14ac:dyDescent="0.25">
      <c r="A105" s="46"/>
      <c r="B105" s="46"/>
      <c r="C105" s="47" t="s">
        <v>171</v>
      </c>
      <c r="D105" s="46">
        <f>$B$89*(EXP($F$66/'Propulsion Subsystem Sizing'!E170/'Propulsion Subsystem Sizing'!$J$5)-1)/1000</f>
        <v>1.9630358195520378E-2</v>
      </c>
      <c r="E105" s="31">
        <v>0.15</v>
      </c>
      <c r="F105" s="46">
        <f t="shared" si="2"/>
        <v>2.2574911924848434E-2</v>
      </c>
    </row>
    <row r="106" spans="1:6" ht="30" x14ac:dyDescent="0.25">
      <c r="A106" s="46"/>
      <c r="B106" s="46"/>
      <c r="C106" s="47" t="s">
        <v>172</v>
      </c>
      <c r="D106" s="46">
        <f>$B$89*(EXP($F$66/'Propulsion Subsystem Sizing'!E171/'Propulsion Subsystem Sizing'!$J$5)-1)/1000</f>
        <v>1.6791249048564019E-2</v>
      </c>
      <c r="E106" s="31">
        <v>0.15</v>
      </c>
      <c r="F106" s="46">
        <f t="shared" si="2"/>
        <v>1.9309936405848622E-2</v>
      </c>
    </row>
    <row r="107" spans="1:6" x14ac:dyDescent="0.25">
      <c r="A107" s="48" t="s">
        <v>58</v>
      </c>
      <c r="B107" s="46">
        <f>'Propulsion Subsystem Sizing'!$C$7+'Propulsion Subsystem Sizing'!$D$14*'Propulsion Subsystem Sizing'!$D$23</f>
        <v>671.05333194271486</v>
      </c>
      <c r="C107" s="46" t="s">
        <v>135</v>
      </c>
      <c r="D107" s="46">
        <f>$B$107*(EXP($F$67/'Propulsion Subsystem Sizing'!E153/'Propulsion Subsystem Sizing'!$J$5)-1)/1000</f>
        <v>1.1240438180755851E-2</v>
      </c>
      <c r="E107" s="31">
        <v>0.15</v>
      </c>
      <c r="F107" s="46">
        <f t="shared" si="2"/>
        <v>1.2926503907869228E-2</v>
      </c>
    </row>
    <row r="108" spans="1:6" x14ac:dyDescent="0.25">
      <c r="A108" s="46"/>
      <c r="B108" s="46"/>
      <c r="C108" s="46" t="s">
        <v>137</v>
      </c>
      <c r="D108" s="46">
        <f>$B$107*(EXP($F$67/'Propulsion Subsystem Sizing'!E154/'Propulsion Subsystem Sizing'!$J$5)-1)/1000</f>
        <v>1.5607046603507932E-2</v>
      </c>
      <c r="E108" s="31">
        <v>0.15</v>
      </c>
      <c r="F108" s="46">
        <f t="shared" si="2"/>
        <v>1.794810359403412E-2</v>
      </c>
    </row>
    <row r="109" spans="1:6" x14ac:dyDescent="0.25">
      <c r="A109" s="46"/>
      <c r="B109" s="46"/>
      <c r="C109" s="46" t="s">
        <v>139</v>
      </c>
      <c r="D109" s="46">
        <f>$B$107*(EXP($F$67/'Propulsion Subsystem Sizing'!E155/'Propulsion Subsystem Sizing'!$J$5)-1)/1000</f>
        <v>1.2266667096969434E-2</v>
      </c>
      <c r="E109" s="31">
        <v>0.15</v>
      </c>
      <c r="F109" s="46">
        <f t="shared" si="2"/>
        <v>1.410666716151485E-2</v>
      </c>
    </row>
    <row r="110" spans="1:6" x14ac:dyDescent="0.25">
      <c r="A110" s="46"/>
      <c r="B110" s="46"/>
      <c r="C110" s="46" t="s">
        <v>140</v>
      </c>
      <c r="D110" s="46">
        <f>$B$107*(EXP($F$67/'Propulsion Subsystem Sizing'!E156/'Propulsion Subsystem Sizing'!$J$5)-1)/1000</f>
        <v>4.9028322067363244E-3</v>
      </c>
      <c r="E110" s="31">
        <v>0.15</v>
      </c>
      <c r="F110" s="46">
        <f t="shared" si="2"/>
        <v>5.6382570377467734E-3</v>
      </c>
    </row>
    <row r="111" spans="1:6" x14ac:dyDescent="0.25">
      <c r="A111" s="46"/>
      <c r="B111" s="46"/>
      <c r="C111" s="46" t="s">
        <v>141</v>
      </c>
      <c r="D111" s="46">
        <f>$B$107*(EXP($F$67/'Propulsion Subsystem Sizing'!E157/'Propulsion Subsystem Sizing'!$J$5)-1)/1000</f>
        <v>2.9604993907426432E-3</v>
      </c>
      <c r="E111" s="31">
        <v>0.15</v>
      </c>
      <c r="F111" s="46">
        <f t="shared" si="2"/>
        <v>3.4045742993540394E-3</v>
      </c>
    </row>
    <row r="112" spans="1:6" x14ac:dyDescent="0.25">
      <c r="A112" s="46"/>
      <c r="B112" s="46"/>
      <c r="C112" s="46" t="s">
        <v>142</v>
      </c>
      <c r="D112" s="46">
        <f>$B$107*(EXP($F$67/'Propulsion Subsystem Sizing'!E158/'Propulsion Subsystem Sizing'!$J$5)-1)/1000</f>
        <v>1.1052930415527195E-2</v>
      </c>
      <c r="E112" s="31">
        <v>0.15</v>
      </c>
      <c r="F112" s="46">
        <f t="shared" si="2"/>
        <v>1.2710869977856275E-2</v>
      </c>
    </row>
    <row r="113" spans="1:6" x14ac:dyDescent="0.25">
      <c r="A113" s="46"/>
      <c r="B113" s="46"/>
      <c r="C113" s="46" t="s">
        <v>143</v>
      </c>
      <c r="D113" s="46">
        <f>$B$107*(EXP($F$67/'Propulsion Subsystem Sizing'!E159/'Propulsion Subsystem Sizing'!$J$5)-1)/1000</f>
        <v>1.1766370145828443E-2</v>
      </c>
      <c r="E113" s="31">
        <v>0.15</v>
      </c>
      <c r="F113" s="46">
        <f t="shared" si="2"/>
        <v>1.3531325667702709E-2</v>
      </c>
    </row>
    <row r="114" spans="1:6" x14ac:dyDescent="0.25">
      <c r="A114" s="46"/>
      <c r="B114" s="46"/>
      <c r="C114" s="46" t="s">
        <v>144</v>
      </c>
      <c r="D114" s="46">
        <f>$B$107*(EXP($F$67/'Propulsion Subsystem Sizing'!E160/'Propulsion Subsystem Sizing'!$J$5)-1)/1000</f>
        <v>8.7251284979951993E-3</v>
      </c>
      <c r="E114" s="31">
        <v>0.15</v>
      </c>
      <c r="F114" s="46">
        <f t="shared" si="2"/>
        <v>1.003389777269448E-2</v>
      </c>
    </row>
    <row r="115" spans="1:6" x14ac:dyDescent="0.25">
      <c r="A115" s="46"/>
      <c r="B115" s="46"/>
      <c r="C115" s="46" t="s">
        <v>145</v>
      </c>
      <c r="D115" s="46">
        <f>$B$107*(EXP($F$67/'Propulsion Subsystem Sizing'!E161/'Propulsion Subsystem Sizing'!$J$5)-1)/1000</f>
        <v>8.4689940666837268E-3</v>
      </c>
      <c r="E115" s="31">
        <v>0.15</v>
      </c>
      <c r="F115" s="46">
        <f t="shared" si="2"/>
        <v>9.7393431766862864E-3</v>
      </c>
    </row>
    <row r="116" spans="1:6" x14ac:dyDescent="0.25">
      <c r="A116" s="46"/>
      <c r="B116" s="46"/>
      <c r="C116" s="46" t="s">
        <v>173</v>
      </c>
      <c r="D116" s="46">
        <f>$B$107*(EXP($F$67/'Propulsion Subsystem Sizing'!E162/'Propulsion Subsystem Sizing'!$J$5)-1)/1000</f>
        <v>1.0396387635364791E-3</v>
      </c>
      <c r="E116" s="31">
        <v>0.15</v>
      </c>
      <c r="F116" s="46">
        <f t="shared" si="2"/>
        <v>1.195584578066951E-3</v>
      </c>
    </row>
    <row r="117" spans="1:6" x14ac:dyDescent="0.25">
      <c r="A117" s="46"/>
      <c r="B117" s="46"/>
      <c r="C117" s="46" t="s">
        <v>174</v>
      </c>
      <c r="D117" s="46">
        <f>$B$107*(EXP($F$67/'Propulsion Subsystem Sizing'!E163/'Propulsion Subsystem Sizing'!$J$5)-1)/1000</f>
        <v>3.4047033306771896E-4</v>
      </c>
      <c r="E117" s="31">
        <v>0.15</v>
      </c>
      <c r="F117" s="46">
        <f t="shared" si="2"/>
        <v>3.9154088302787679E-4</v>
      </c>
    </row>
    <row r="118" spans="1:6" x14ac:dyDescent="0.25">
      <c r="A118" s="46"/>
      <c r="B118" s="46"/>
      <c r="C118" s="47" t="s">
        <v>166</v>
      </c>
      <c r="D118" s="46">
        <f>$B$107*(EXP($F$67/'Propulsion Subsystem Sizing'!E165/'Propulsion Subsystem Sizing'!$J$5)-1)/1000</f>
        <v>3.5717904027926964E-3</v>
      </c>
      <c r="E118" s="31">
        <v>0.15</v>
      </c>
      <c r="F118" s="46">
        <f t="shared" si="2"/>
        <v>4.1075589632116006E-3</v>
      </c>
    </row>
    <row r="119" spans="1:6" x14ac:dyDescent="0.25">
      <c r="A119" s="46"/>
      <c r="B119" s="46"/>
      <c r="C119" s="47" t="s">
        <v>167</v>
      </c>
      <c r="D119" s="46">
        <f>$B$107*(EXP($F$67/'Propulsion Subsystem Sizing'!E166/'Propulsion Subsystem Sizing'!$J$5)-1)/1000</f>
        <v>4.0483673724171386E-3</v>
      </c>
      <c r="E119" s="31">
        <v>0.15</v>
      </c>
      <c r="F119" s="46">
        <f t="shared" si="2"/>
        <v>4.6556224782797091E-3</v>
      </c>
    </row>
    <row r="120" spans="1:6" x14ac:dyDescent="0.25">
      <c r="A120" s="46"/>
      <c r="B120" s="46"/>
      <c r="C120" s="47" t="s">
        <v>168</v>
      </c>
      <c r="D120" s="46">
        <f>$B$107*(EXP($F$67/'Propulsion Subsystem Sizing'!E167/'Propulsion Subsystem Sizing'!$J$5)-1)/1000</f>
        <v>3.4324554045917881E-3</v>
      </c>
      <c r="E120" s="31">
        <v>0.15</v>
      </c>
      <c r="F120" s="46">
        <f t="shared" si="2"/>
        <v>3.9473237152805561E-3</v>
      </c>
    </row>
    <row r="121" spans="1:6" ht="30" x14ac:dyDescent="0.25">
      <c r="A121" s="46"/>
      <c r="B121" s="46"/>
      <c r="C121" s="47" t="s">
        <v>170</v>
      </c>
      <c r="D121" s="46">
        <f>$B$107*(EXP($F$67/'Propulsion Subsystem Sizing'!E168/'Propulsion Subsystem Sizing'!$J$5)-1)/1000</f>
        <v>3.4868642238759491E-3</v>
      </c>
      <c r="E121" s="31">
        <v>0.15</v>
      </c>
      <c r="F121" s="46">
        <f t="shared" si="2"/>
        <v>4.0098938574573417E-3</v>
      </c>
    </row>
    <row r="122" spans="1:6" ht="30" x14ac:dyDescent="0.25">
      <c r="A122" s="46"/>
      <c r="B122" s="46"/>
      <c r="C122" s="47" t="s">
        <v>169</v>
      </c>
      <c r="D122" s="46">
        <f>$B$107*(EXP($F$67/'Propulsion Subsystem Sizing'!E169/'Propulsion Subsystem Sizing'!$J$5)-1)/1000</f>
        <v>3.6916765116065519E-3</v>
      </c>
      <c r="E122" s="31">
        <v>0.15</v>
      </c>
      <c r="F122" s="46">
        <f t="shared" si="2"/>
        <v>4.2454279883475344E-3</v>
      </c>
    </row>
    <row r="123" spans="1:6" ht="30" x14ac:dyDescent="0.25">
      <c r="A123" s="46"/>
      <c r="B123" s="46"/>
      <c r="C123" s="47" t="s">
        <v>171</v>
      </c>
      <c r="D123" s="46">
        <f>$B$107*(EXP($F$67/'Propulsion Subsystem Sizing'!E170/'Propulsion Subsystem Sizing'!$J$5)-1)/1000</f>
        <v>4.3270903980987246E-3</v>
      </c>
      <c r="E123" s="31">
        <v>0.15</v>
      </c>
      <c r="F123" s="46">
        <f t="shared" si="2"/>
        <v>4.976153957813533E-3</v>
      </c>
    </row>
    <row r="124" spans="1:6" ht="30" x14ac:dyDescent="0.25">
      <c r="A124" s="46"/>
      <c r="B124" s="46"/>
      <c r="C124" s="47" t="s">
        <v>172</v>
      </c>
      <c r="D124" s="46">
        <f>$B$107*(EXP($F$67/'Propulsion Subsystem Sizing'!E171/'Propulsion Subsystem Sizing'!$J$5)-1)/1000</f>
        <v>3.7072305248318609E-3</v>
      </c>
      <c r="E124" s="31">
        <v>0.15</v>
      </c>
      <c r="F124" s="46">
        <f t="shared" si="2"/>
        <v>4.26331510355664E-3</v>
      </c>
    </row>
    <row r="125" spans="1:6" x14ac:dyDescent="0.25">
      <c r="A125" s="48" t="s">
        <v>59</v>
      </c>
      <c r="B125" s="46">
        <f>'Propulsion Subsystem Sizing'!$C$7+'Propulsion Subsystem Sizing'!$D$14*'Propulsion Subsystem Sizing'!$D$23</f>
        <v>671.05333194271486</v>
      </c>
      <c r="C125" s="46" t="s">
        <v>135</v>
      </c>
      <c r="D125" s="46">
        <f>$B$125*(EXP($F$68/'Propulsion Subsystem Sizing'!E153/'Propulsion Subsystem Sizing'!$J$5)-1)/1000</f>
        <v>1.2332936483506796E-2</v>
      </c>
      <c r="E125" s="31">
        <v>0.15</v>
      </c>
      <c r="F125" s="46">
        <f t="shared" si="2"/>
        <v>1.4182876956032816E-2</v>
      </c>
    </row>
    <row r="126" spans="1:6" x14ac:dyDescent="0.25">
      <c r="A126" s="46"/>
      <c r="B126" s="46"/>
      <c r="C126" s="46" t="s">
        <v>137</v>
      </c>
      <c r="D126" s="46">
        <f>$B$125*(EXP($F$68/'Propulsion Subsystem Sizing'!E154/'Propulsion Subsystem Sizing'!$J$5)-1)/1000</f>
        <v>1.7129249139647064E-2</v>
      </c>
      <c r="E126" s="31">
        <v>0.15</v>
      </c>
      <c r="F126" s="46">
        <f t="shared" si="2"/>
        <v>1.9698636510594125E-2</v>
      </c>
    </row>
    <row r="127" spans="1:6" x14ac:dyDescent="0.25">
      <c r="A127" s="46"/>
      <c r="B127" s="46"/>
      <c r="C127" s="46" t="s">
        <v>139</v>
      </c>
      <c r="D127" s="46">
        <f>$B$125*(EXP($F$68/'Propulsion Subsystem Sizing'!E155/'Propulsion Subsystem Sizing'!$J$5)-1)/1000</f>
        <v>1.3459888319458015E-2</v>
      </c>
      <c r="E127" s="31">
        <v>0.15</v>
      </c>
      <c r="F127" s="46">
        <f t="shared" si="2"/>
        <v>1.5478871567376717E-2</v>
      </c>
    </row>
    <row r="128" spans="1:6" x14ac:dyDescent="0.25">
      <c r="A128" s="46"/>
      <c r="B128" s="46"/>
      <c r="C128" s="46" t="s">
        <v>140</v>
      </c>
      <c r="D128" s="46">
        <f>$B$125*(EXP($F$68/'Propulsion Subsystem Sizing'!E156/'Propulsion Subsystem Sizing'!$J$5)-1)/1000</f>
        <v>5.3769289225319306E-3</v>
      </c>
      <c r="E128" s="31">
        <v>0.15</v>
      </c>
      <c r="F128" s="46">
        <f t="shared" si="2"/>
        <v>6.1834682609117203E-3</v>
      </c>
    </row>
    <row r="129" spans="1:6" x14ac:dyDescent="0.25">
      <c r="A129" s="46"/>
      <c r="B129" s="46"/>
      <c r="C129" s="46" t="s">
        <v>141</v>
      </c>
      <c r="D129" s="46">
        <f>$B$125*(EXP($F$68/'Propulsion Subsystem Sizing'!E157/'Propulsion Subsystem Sizing'!$J$5)-1)/1000</f>
        <v>3.2463245475494911E-3</v>
      </c>
      <c r="E129" s="31">
        <v>0.15</v>
      </c>
      <c r="F129" s="46">
        <f t="shared" si="2"/>
        <v>3.7332732296819146E-3</v>
      </c>
    </row>
    <row r="130" spans="1:6" x14ac:dyDescent="0.25">
      <c r="A130" s="46"/>
      <c r="B130" s="46"/>
      <c r="C130" s="46" t="s">
        <v>142</v>
      </c>
      <c r="D130" s="46">
        <f>$B$125*(EXP($F$68/'Propulsion Subsystem Sizing'!E158/'Propulsion Subsystem Sizing'!$J$5)-1)/1000</f>
        <v>1.2127042727665134E-2</v>
      </c>
      <c r="E130" s="31">
        <v>0.15</v>
      </c>
      <c r="F130" s="46">
        <f t="shared" si="2"/>
        <v>1.3946099136814903E-2</v>
      </c>
    </row>
    <row r="131" spans="1:6" x14ac:dyDescent="0.25">
      <c r="A131" s="46"/>
      <c r="B131" s="46"/>
      <c r="C131" s="46" t="s">
        <v>143</v>
      </c>
      <c r="D131" s="46">
        <f>$B$125*(EXP($F$68/'Propulsion Subsystem Sizing'!E159/'Propulsion Subsystem Sizing'!$J$5)-1)/1000</f>
        <v>1.2910467549984398E-2</v>
      </c>
      <c r="E131" s="31">
        <v>0.15</v>
      </c>
      <c r="F131" s="46">
        <f t="shared" si="2"/>
        <v>1.4847037682482057E-2</v>
      </c>
    </row>
    <row r="132" spans="1:6" x14ac:dyDescent="0.25">
      <c r="A132" s="46"/>
      <c r="B132" s="46"/>
      <c r="C132" s="46" t="s">
        <v>144</v>
      </c>
      <c r="D132" s="46">
        <f>$B$125*(EXP($F$68/'Propulsion Subsystem Sizing'!E160/'Propulsion Subsystem Sizing'!$J$5)-1)/1000</f>
        <v>9.5714435584052689E-3</v>
      </c>
      <c r="E132" s="31">
        <v>0.15</v>
      </c>
      <c r="F132" s="46">
        <f t="shared" si="2"/>
        <v>1.100716009216606E-2</v>
      </c>
    </row>
    <row r="133" spans="1:6" x14ac:dyDescent="0.25">
      <c r="A133" s="46"/>
      <c r="B133" s="46"/>
      <c r="C133" s="46" t="s">
        <v>145</v>
      </c>
      <c r="D133" s="46">
        <f>$B$125*(EXP($F$68/'Propulsion Subsystem Sizing'!E161/'Propulsion Subsystem Sizing'!$J$5)-1)/1000</f>
        <v>9.2902953887652445E-3</v>
      </c>
      <c r="E133" s="31">
        <v>0.15</v>
      </c>
      <c r="F133" s="46">
        <f t="shared" si="2"/>
        <v>1.0683839697080031E-2</v>
      </c>
    </row>
    <row r="134" spans="1:6" x14ac:dyDescent="0.25">
      <c r="A134" s="46"/>
      <c r="B134" s="46"/>
      <c r="C134" s="46" t="s">
        <v>173</v>
      </c>
      <c r="D134" s="46">
        <f>$B$125*(EXP($F$68/'Propulsion Subsystem Sizing'!E162/'Propulsion Subsystem Sizing'!$J$5)-1)/1000</f>
        <v>1.1398551702352917E-3</v>
      </c>
      <c r="E134" s="31">
        <v>0.15</v>
      </c>
      <c r="F134" s="46">
        <f t="shared" si="2"/>
        <v>1.3108334457705856E-3</v>
      </c>
    </row>
    <row r="135" spans="1:6" x14ac:dyDescent="0.25">
      <c r="A135" s="46"/>
      <c r="B135" s="46"/>
      <c r="C135" s="46" t="s">
        <v>174</v>
      </c>
      <c r="D135" s="46">
        <f>$B$125*(EXP($F$68/'Propulsion Subsystem Sizing'!E163/'Propulsion Subsystem Sizing'!$J$5)-1)/1000</f>
        <v>3.7327139438044139E-4</v>
      </c>
      <c r="E135" s="31">
        <v>0.15</v>
      </c>
      <c r="F135" s="46">
        <f t="shared" si="2"/>
        <v>4.2926210353750759E-4</v>
      </c>
    </row>
    <row r="136" spans="1:6" x14ac:dyDescent="0.25">
      <c r="A136" s="46"/>
      <c r="B136" s="46"/>
      <c r="C136" s="47" t="s">
        <v>166</v>
      </c>
      <c r="D136" s="46">
        <f>$B$125*(EXP($F$68/'Propulsion Subsystem Sizing'!E165/'Propulsion Subsystem Sizing'!$J$5)-1)/1000</f>
        <v>3.9168047001230328E-3</v>
      </c>
      <c r="E136" s="31">
        <v>0.15</v>
      </c>
      <c r="F136" s="46">
        <f t="shared" ref="F136:F142" si="3">E136*D136+D136</f>
        <v>4.5043254051414881E-3</v>
      </c>
    </row>
    <row r="137" spans="1:6" x14ac:dyDescent="0.25">
      <c r="A137" s="46"/>
      <c r="B137" s="46"/>
      <c r="C137" s="47" t="s">
        <v>167</v>
      </c>
      <c r="D137" s="46">
        <f>$B$125*(EXP($F$68/'Propulsion Subsystem Sizing'!E166/'Propulsion Subsystem Sizing'!$J$5)-1)/1000</f>
        <v>4.439567523768514E-3</v>
      </c>
      <c r="E137" s="31">
        <v>0.15</v>
      </c>
      <c r="F137" s="46">
        <f t="shared" si="3"/>
        <v>5.1055026523337908E-3</v>
      </c>
    </row>
    <row r="138" spans="1:6" x14ac:dyDescent="0.25">
      <c r="A138" s="46"/>
      <c r="B138" s="46"/>
      <c r="C138" s="47" t="s">
        <v>168</v>
      </c>
      <c r="D138" s="46">
        <f>$B$125*(EXP($F$68/'Propulsion Subsystem Sizing'!E167/'Propulsion Subsystem Sizing'!$J$5)-1)/1000</f>
        <v>3.7639732376294299E-3</v>
      </c>
      <c r="E138" s="31">
        <v>0.15</v>
      </c>
      <c r="F138" s="46">
        <f t="shared" si="3"/>
        <v>4.3285692232738447E-3</v>
      </c>
    </row>
    <row r="139" spans="1:6" ht="30" x14ac:dyDescent="0.25">
      <c r="A139" s="46"/>
      <c r="B139" s="46"/>
      <c r="C139" s="47" t="s">
        <v>170</v>
      </c>
      <c r="D139" s="46">
        <f>$B$125*(EXP($F$68/'Propulsion Subsystem Sizing'!E168/'Propulsion Subsystem Sizing'!$J$5)-1)/1000</f>
        <v>3.8236519193338599E-3</v>
      </c>
      <c r="E139" s="31">
        <v>0.15</v>
      </c>
      <c r="F139" s="46">
        <f t="shared" si="3"/>
        <v>4.397199707233939E-3</v>
      </c>
    </row>
    <row r="140" spans="1:6" ht="30" x14ac:dyDescent="0.25">
      <c r="A140" s="46"/>
      <c r="B140" s="46"/>
      <c r="C140" s="47" t="s">
        <v>169</v>
      </c>
      <c r="D140" s="46">
        <f>$B$125*(EXP($F$68/'Propulsion Subsystem Sizing'!E169/'Propulsion Subsystem Sizing'!$J$5)-1)/1000</f>
        <v>4.0483058206079604E-3</v>
      </c>
      <c r="E140" s="31">
        <v>0.15</v>
      </c>
      <c r="F140" s="46">
        <f t="shared" si="3"/>
        <v>4.6555516936991545E-3</v>
      </c>
    </row>
    <row r="141" spans="1:6" ht="30" x14ac:dyDescent="0.25">
      <c r="A141" s="46"/>
      <c r="B141" s="46"/>
      <c r="C141" s="47" t="s">
        <v>171</v>
      </c>
      <c r="D141" s="46">
        <f>$B$125*(EXP($F$68/'Propulsion Subsystem Sizing'!E170/'Propulsion Subsystem Sizing'!$J$5)-1)/1000</f>
        <v>4.7453185282403014E-3</v>
      </c>
      <c r="E141" s="31">
        <v>0.15</v>
      </c>
      <c r="F141" s="46">
        <f t="shared" si="3"/>
        <v>5.4571163074763462E-3</v>
      </c>
    </row>
    <row r="142" spans="1:6" ht="30" x14ac:dyDescent="0.25">
      <c r="A142" s="46"/>
      <c r="B142" s="46"/>
      <c r="C142" s="47" t="s">
        <v>172</v>
      </c>
      <c r="D142" s="46">
        <f>$B$125*(EXP($F$68/'Propulsion Subsystem Sizing'!E171/'Propulsion Subsystem Sizing'!$J$5)-1)/1000</f>
        <v>4.0653669293544883E-3</v>
      </c>
      <c r="E142" s="31">
        <v>0.15</v>
      </c>
      <c r="F142" s="46">
        <f t="shared" si="3"/>
        <v>4.6751719687576614E-3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7"/>
  <sheetViews>
    <sheetView topLeftCell="A10" workbookViewId="0">
      <selection activeCell="A2" sqref="A2:F19"/>
    </sheetView>
  </sheetViews>
  <sheetFormatPr defaultRowHeight="15" x14ac:dyDescent="0.25"/>
  <cols>
    <col min="1" max="1" width="26.85546875" bestFit="1" customWidth="1"/>
    <col min="2" max="2" width="12.140625" bestFit="1" customWidth="1"/>
    <col min="3" max="3" width="16.7109375" bestFit="1" customWidth="1"/>
    <col min="4" max="4" width="22.28515625" bestFit="1" customWidth="1"/>
    <col min="5" max="5" width="20.5703125" bestFit="1" customWidth="1"/>
    <col min="6" max="6" width="10.28515625" bestFit="1" customWidth="1"/>
    <col min="8" max="8" width="32.5703125" bestFit="1" customWidth="1"/>
  </cols>
  <sheetData>
    <row r="1" spans="1:8" ht="24" thickBot="1" x14ac:dyDescent="0.4">
      <c r="A1" s="213" t="s">
        <v>350</v>
      </c>
      <c r="H1" s="7" t="s">
        <v>379</v>
      </c>
    </row>
    <row r="2" spans="1:8" x14ac:dyDescent="0.25">
      <c r="A2" s="182" t="s">
        <v>350</v>
      </c>
      <c r="B2" s="189" t="s">
        <v>179</v>
      </c>
      <c r="C2" s="189" t="s">
        <v>356</v>
      </c>
      <c r="D2" s="189" t="s">
        <v>357</v>
      </c>
      <c r="E2" s="189" t="s">
        <v>358</v>
      </c>
      <c r="F2" s="190" t="s">
        <v>109</v>
      </c>
      <c r="H2" s="16" t="s">
        <v>363</v>
      </c>
    </row>
    <row r="3" spans="1:8" x14ac:dyDescent="0.25">
      <c r="A3" s="191" t="s">
        <v>351</v>
      </c>
      <c r="B3" s="6">
        <v>296</v>
      </c>
      <c r="C3" s="6">
        <v>0.5</v>
      </c>
      <c r="D3" s="6">
        <v>743</v>
      </c>
      <c r="E3" s="6">
        <v>1.6</v>
      </c>
      <c r="F3" s="56" t="s">
        <v>359</v>
      </c>
      <c r="H3" s="16">
        <v>4</v>
      </c>
    </row>
    <row r="4" spans="1:8" x14ac:dyDescent="0.25">
      <c r="A4" s="191"/>
      <c r="B4" s="6">
        <v>299</v>
      </c>
      <c r="C4" s="6">
        <v>0.9</v>
      </c>
      <c r="D4" s="6">
        <v>905</v>
      </c>
      <c r="E4" s="6">
        <v>1</v>
      </c>
      <c r="F4" s="56" t="s">
        <v>359</v>
      </c>
      <c r="H4" s="16" t="s">
        <v>369</v>
      </c>
    </row>
    <row r="5" spans="1:8" x14ac:dyDescent="0.25">
      <c r="A5" s="191" t="s">
        <v>352</v>
      </c>
      <c r="B5" s="6">
        <v>480</v>
      </c>
      <c r="C5" s="6">
        <v>0.85</v>
      </c>
      <c r="D5" s="6">
        <v>135</v>
      </c>
      <c r="E5" s="6">
        <v>3.5</v>
      </c>
      <c r="F5" s="56" t="s">
        <v>361</v>
      </c>
      <c r="H5" s="16">
        <f>PI()*'Propulsion Subsystem Sizing'!C4*'Propulsion Subsystem Sizing'!C5*0.5</f>
        <v>24.429024474314236</v>
      </c>
    </row>
    <row r="6" spans="1:8" x14ac:dyDescent="0.25">
      <c r="A6" s="191"/>
      <c r="B6" s="6">
        <v>502</v>
      </c>
      <c r="C6" s="6">
        <v>1.8</v>
      </c>
      <c r="D6" s="6">
        <v>138</v>
      </c>
      <c r="E6" s="6">
        <v>3.1</v>
      </c>
      <c r="F6" s="56" t="s">
        <v>359</v>
      </c>
      <c r="H6" s="44" t="s">
        <v>375</v>
      </c>
    </row>
    <row r="7" spans="1:8" x14ac:dyDescent="0.25">
      <c r="A7" s="191"/>
      <c r="B7" s="6" t="s">
        <v>360</v>
      </c>
      <c r="C7" s="6">
        <v>2.17</v>
      </c>
      <c r="D7" s="6">
        <v>113</v>
      </c>
      <c r="E7" s="6">
        <v>2.5</v>
      </c>
      <c r="F7" s="56" t="s">
        <v>359</v>
      </c>
      <c r="H7" s="16">
        <v>1</v>
      </c>
    </row>
    <row r="8" spans="1:8" x14ac:dyDescent="0.25">
      <c r="A8" s="191"/>
      <c r="B8" s="6">
        <v>800</v>
      </c>
      <c r="C8" s="6">
        <v>26</v>
      </c>
      <c r="D8" s="114" t="s">
        <v>129</v>
      </c>
      <c r="E8" s="114" t="s">
        <v>129</v>
      </c>
      <c r="F8" s="56" t="s">
        <v>361</v>
      </c>
      <c r="H8" s="44" t="s">
        <v>376</v>
      </c>
    </row>
    <row r="9" spans="1:8" x14ac:dyDescent="0.25">
      <c r="A9" s="191" t="s">
        <v>353</v>
      </c>
      <c r="B9" s="39">
        <v>847</v>
      </c>
      <c r="C9" s="39">
        <v>0.03</v>
      </c>
      <c r="D9" s="39">
        <v>20.8</v>
      </c>
      <c r="E9" s="39">
        <v>195</v>
      </c>
      <c r="F9" s="214" t="s">
        <v>362</v>
      </c>
      <c r="H9" s="16">
        <v>0.25</v>
      </c>
    </row>
    <row r="10" spans="1:8" s="35" customFormat="1" x14ac:dyDescent="0.25">
      <c r="A10" s="191"/>
      <c r="B10" s="39">
        <v>1200</v>
      </c>
      <c r="C10" s="39">
        <v>0.02</v>
      </c>
      <c r="D10" s="39">
        <v>16.100000000000001</v>
      </c>
      <c r="E10" s="39">
        <v>85</v>
      </c>
      <c r="F10" s="214" t="s">
        <v>362</v>
      </c>
      <c r="H10" s="16" t="s">
        <v>378</v>
      </c>
    </row>
    <row r="11" spans="1:8" x14ac:dyDescent="0.25">
      <c r="A11" s="191"/>
      <c r="B11" s="39">
        <v>1200</v>
      </c>
      <c r="C11" s="39">
        <v>7.0000000000000007E-2</v>
      </c>
      <c r="D11" s="39"/>
      <c r="E11" s="39"/>
      <c r="F11" s="214"/>
      <c r="H11" s="16">
        <v>0.8</v>
      </c>
    </row>
    <row r="12" spans="1:8" x14ac:dyDescent="0.25">
      <c r="A12" s="191" t="s">
        <v>354</v>
      </c>
      <c r="B12" s="6">
        <v>1600</v>
      </c>
      <c r="C12" s="6">
        <v>1.5</v>
      </c>
      <c r="D12" s="6">
        <v>55</v>
      </c>
      <c r="E12" s="6">
        <v>7</v>
      </c>
      <c r="F12" s="56" t="s">
        <v>338</v>
      </c>
      <c r="H12" s="16" t="s">
        <v>380</v>
      </c>
    </row>
    <row r="13" spans="1:8" x14ac:dyDescent="0.25">
      <c r="A13" s="191"/>
      <c r="B13" s="6">
        <v>1638</v>
      </c>
      <c r="C13" s="6">
        <v>1.4</v>
      </c>
      <c r="D13" s="114" t="s">
        <v>129</v>
      </c>
      <c r="E13" s="114" t="s">
        <v>129</v>
      </c>
      <c r="F13" s="56" t="s">
        <v>338</v>
      </c>
      <c r="H13" s="16">
        <v>476</v>
      </c>
    </row>
    <row r="14" spans="1:8" x14ac:dyDescent="0.25">
      <c r="A14" s="191"/>
      <c r="B14" s="6">
        <v>2042</v>
      </c>
      <c r="C14" s="6">
        <v>4.5</v>
      </c>
      <c r="D14" s="6">
        <v>54.3</v>
      </c>
      <c r="E14" s="6">
        <v>6</v>
      </c>
      <c r="F14" s="56" t="s">
        <v>338</v>
      </c>
      <c r="H14" s="6" t="s">
        <v>384</v>
      </c>
    </row>
    <row r="15" spans="1:8" x14ac:dyDescent="0.25">
      <c r="A15" s="191" t="s">
        <v>355</v>
      </c>
      <c r="B15" s="39">
        <v>2585</v>
      </c>
      <c r="C15" s="39">
        <v>0.5</v>
      </c>
      <c r="D15" s="39">
        <v>35.6</v>
      </c>
      <c r="E15" s="39">
        <v>23.6</v>
      </c>
      <c r="F15" s="214" t="s">
        <v>338</v>
      </c>
      <c r="H15" s="6">
        <v>0.25</v>
      </c>
    </row>
    <row r="16" spans="1:8" x14ac:dyDescent="0.25">
      <c r="A16" s="180"/>
      <c r="B16" s="6">
        <v>2906</v>
      </c>
      <c r="C16" s="6">
        <v>0.74</v>
      </c>
      <c r="D16" s="6">
        <v>37.299999999999997</v>
      </c>
      <c r="E16" s="6">
        <v>22</v>
      </c>
      <c r="F16" s="56" t="s">
        <v>338</v>
      </c>
      <c r="H16" s="6" t="s">
        <v>440</v>
      </c>
    </row>
    <row r="17" spans="1:10" x14ac:dyDescent="0.25">
      <c r="A17" s="180"/>
      <c r="B17" s="6">
        <v>3250</v>
      </c>
      <c r="C17" s="6">
        <v>0.6</v>
      </c>
      <c r="D17" s="6">
        <v>30</v>
      </c>
      <c r="E17" s="6">
        <v>25</v>
      </c>
      <c r="F17" s="56" t="s">
        <v>338</v>
      </c>
      <c r="H17" s="16">
        <f>(1-H15)*H5</f>
        <v>18.321768355735678</v>
      </c>
    </row>
    <row r="18" spans="1:10" x14ac:dyDescent="0.25">
      <c r="A18" s="180"/>
      <c r="B18" s="6">
        <v>3280</v>
      </c>
      <c r="C18" s="6">
        <v>2.5</v>
      </c>
      <c r="D18" s="6">
        <v>41</v>
      </c>
      <c r="E18" s="6">
        <v>9.1</v>
      </c>
      <c r="F18" s="56" t="s">
        <v>338</v>
      </c>
    </row>
    <row r="19" spans="1:10" ht="15.75" thickBot="1" x14ac:dyDescent="0.3">
      <c r="A19" s="181"/>
      <c r="B19" s="59">
        <v>3400</v>
      </c>
      <c r="C19" s="59">
        <v>0.6</v>
      </c>
      <c r="D19" s="59">
        <v>25.6</v>
      </c>
      <c r="E19" s="59">
        <v>23.7</v>
      </c>
      <c r="F19" s="60" t="s">
        <v>338</v>
      </c>
    </row>
    <row r="21" spans="1:10" x14ac:dyDescent="0.25">
      <c r="B21" t="s">
        <v>367</v>
      </c>
      <c r="C21" t="s">
        <v>368</v>
      </c>
    </row>
    <row r="22" spans="1:10" x14ac:dyDescent="0.25">
      <c r="A22" t="s">
        <v>364</v>
      </c>
      <c r="B22">
        <f>C10*H3</f>
        <v>0.08</v>
      </c>
      <c r="C22">
        <f>C15*H3</f>
        <v>2</v>
      </c>
    </row>
    <row r="23" spans="1:10" ht="60" x14ac:dyDescent="0.25">
      <c r="A23" s="6"/>
      <c r="B23" s="6"/>
      <c r="C23" s="6"/>
      <c r="D23" s="6"/>
      <c r="E23" s="43" t="s">
        <v>374</v>
      </c>
      <c r="F23" s="7"/>
      <c r="G23" s="43" t="s">
        <v>370</v>
      </c>
      <c r="H23" s="7"/>
      <c r="I23" s="43" t="s">
        <v>377</v>
      </c>
      <c r="J23" s="6"/>
    </row>
    <row r="24" spans="1:10" ht="30" x14ac:dyDescent="0.25">
      <c r="A24" s="6"/>
      <c r="B24" s="7" t="s">
        <v>371</v>
      </c>
      <c r="C24" s="43" t="s">
        <v>372</v>
      </c>
      <c r="D24" s="43" t="s">
        <v>373</v>
      </c>
      <c r="E24" s="6" t="s">
        <v>365</v>
      </c>
      <c r="F24" s="6" t="s">
        <v>366</v>
      </c>
      <c r="G24" s="6" t="s">
        <v>365</v>
      </c>
      <c r="H24" s="6" t="s">
        <v>366</v>
      </c>
      <c r="I24" s="6" t="s">
        <v>365</v>
      </c>
      <c r="J24" s="6" t="s">
        <v>366</v>
      </c>
    </row>
    <row r="25" spans="1:10" x14ac:dyDescent="0.25">
      <c r="A25" s="7" t="s">
        <v>73</v>
      </c>
      <c r="B25" s="16">
        <f>2*PI()*SQRT(('Propulsion Subsystem Sizing'!C36+'Propulsion Subsystem Sizing'!J2)^3/'Propulsion Subsystem Sizing'!J3)</f>
        <v>6307.0754585054083</v>
      </c>
      <c r="C25" s="16">
        <f>0.6*B25</f>
        <v>3784.2452751032447</v>
      </c>
      <c r="D25" s="16">
        <f>0.4*B25</f>
        <v>2522.8301834021636</v>
      </c>
      <c r="E25" s="16">
        <f>(B22+B22+H7)/(1-H9)</f>
        <v>1.5466666666666666</v>
      </c>
      <c r="F25" s="16">
        <f>(C22+C22+H7)/(1-H9)</f>
        <v>6.666666666666667</v>
      </c>
      <c r="G25" s="16">
        <f>(B22+H7)/(1-H9)</f>
        <v>1.4400000000000002</v>
      </c>
      <c r="H25" s="16">
        <f>(C22+H7)/(1-H9)</f>
        <v>4</v>
      </c>
      <c r="I25" s="16">
        <f>((E25*C25/$H$11)+(G25*D25/$H$11))/C25</f>
        <v>3.1333333333333333</v>
      </c>
      <c r="J25" s="16">
        <f>((F25*C25/$H$11)+(H25*D25/$H$11))/C25</f>
        <v>11.666666666666668</v>
      </c>
    </row>
    <row r="26" spans="1:10" x14ac:dyDescent="0.25">
      <c r="A26" s="7" t="s">
        <v>74</v>
      </c>
      <c r="B26" s="16">
        <f>2*PI()*SQRT(('Propulsion Subsystem Sizing'!C63+'Propulsion Subsystem Sizing'!J2)^3/'Propulsion Subsystem Sizing'!J3)</f>
        <v>86163.924831987446</v>
      </c>
      <c r="C26" s="16">
        <f>0.5*B26</f>
        <v>43081.962415993723</v>
      </c>
      <c r="D26" s="16">
        <f>0.5*B26</f>
        <v>43081.962415993723</v>
      </c>
      <c r="E26" s="16">
        <f>E25</f>
        <v>1.5466666666666666</v>
      </c>
      <c r="F26" s="16">
        <f>F25</f>
        <v>6.666666666666667</v>
      </c>
      <c r="G26" s="16">
        <f>G25</f>
        <v>1.4400000000000002</v>
      </c>
      <c r="H26" s="16">
        <f>H25</f>
        <v>4</v>
      </c>
      <c r="I26" s="16">
        <f>((E26*C26/$H$11)+(G26*D26/$H$11))/C26</f>
        <v>3.7333333333333334</v>
      </c>
      <c r="J26" s="16">
        <f>((F26*C26/$H$11)+(H26*D26/$H$11))/C26</f>
        <v>13.333333333333334</v>
      </c>
    </row>
    <row r="28" spans="1:10" ht="45" x14ac:dyDescent="0.25">
      <c r="A28" s="16"/>
      <c r="B28" s="51" t="s">
        <v>381</v>
      </c>
      <c r="C28" s="16"/>
    </row>
    <row r="29" spans="1:10" x14ac:dyDescent="0.25">
      <c r="A29" s="16"/>
      <c r="B29" s="16" t="s">
        <v>382</v>
      </c>
      <c r="C29" s="16" t="s">
        <v>383</v>
      </c>
    </row>
    <row r="30" spans="1:10" x14ac:dyDescent="0.25">
      <c r="A30" s="7" t="s">
        <v>73</v>
      </c>
      <c r="B30" s="16">
        <f>(1/H13)*I25*1000</f>
        <v>6.5826330532212882</v>
      </c>
      <c r="C30" s="16">
        <f>(1/H13)*J25*1000</f>
        <v>24.509803921568629</v>
      </c>
    </row>
    <row r="31" spans="1:10" x14ac:dyDescent="0.25">
      <c r="A31" s="7" t="s">
        <v>74</v>
      </c>
      <c r="B31" s="16">
        <f>(1/H13)*I26*1000</f>
        <v>7.8431372549019605</v>
      </c>
      <c r="C31" s="16">
        <f>(1/H13)*J26*1000</f>
        <v>28.011204481792717</v>
      </c>
    </row>
    <row r="33" spans="1:6" ht="21" x14ac:dyDescent="0.35">
      <c r="A33" s="113" t="s">
        <v>385</v>
      </c>
      <c r="B33" s="7" t="s">
        <v>179</v>
      </c>
      <c r="C33" s="7" t="s">
        <v>356</v>
      </c>
      <c r="D33" s="7" t="s">
        <v>357</v>
      </c>
      <c r="E33" s="7" t="s">
        <v>358</v>
      </c>
      <c r="F33" s="7" t="s">
        <v>109</v>
      </c>
    </row>
    <row r="34" spans="1:6" x14ac:dyDescent="0.25">
      <c r="A34" s="7" t="s">
        <v>353</v>
      </c>
      <c r="B34" s="6">
        <v>847</v>
      </c>
      <c r="C34" s="6">
        <v>0.03</v>
      </c>
      <c r="D34" s="6">
        <v>20.8</v>
      </c>
      <c r="E34" s="6">
        <v>195</v>
      </c>
      <c r="F34" s="6" t="s">
        <v>362</v>
      </c>
    </row>
    <row r="35" spans="1:6" x14ac:dyDescent="0.25">
      <c r="A35" s="7"/>
      <c r="B35" s="6">
        <v>1200</v>
      </c>
      <c r="C35" s="6">
        <v>0.02</v>
      </c>
      <c r="D35" s="6">
        <v>16.100000000000001</v>
      </c>
      <c r="E35" s="6">
        <v>85</v>
      </c>
      <c r="F35" s="6" t="s">
        <v>362</v>
      </c>
    </row>
    <row r="36" spans="1:6" x14ac:dyDescent="0.25">
      <c r="A36" s="7"/>
      <c r="B36" s="6">
        <v>1200</v>
      </c>
      <c r="C36" s="6">
        <v>7.0000000000000007E-2</v>
      </c>
      <c r="D36" s="114" t="s">
        <v>129</v>
      </c>
      <c r="E36" s="114" t="s">
        <v>129</v>
      </c>
      <c r="F36" s="6" t="s">
        <v>362</v>
      </c>
    </row>
    <row r="37" spans="1:6" x14ac:dyDescent="0.25">
      <c r="A37" s="7" t="s">
        <v>355</v>
      </c>
      <c r="B37" s="6">
        <v>2585</v>
      </c>
      <c r="C37" s="6">
        <v>0.5</v>
      </c>
      <c r="D37" s="6">
        <v>35.6</v>
      </c>
      <c r="E37" s="6">
        <v>23.6</v>
      </c>
      <c r="F37" s="6" t="s">
        <v>338</v>
      </c>
    </row>
  </sheetData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4"/>
  <sheetViews>
    <sheetView zoomScaleNormal="100" workbookViewId="0">
      <selection activeCell="I38" sqref="I38"/>
    </sheetView>
  </sheetViews>
  <sheetFormatPr defaultRowHeight="15" x14ac:dyDescent="0.25"/>
  <cols>
    <col min="1" max="1" width="32.85546875" bestFit="1" customWidth="1"/>
    <col min="2" max="2" width="22.7109375" customWidth="1"/>
    <col min="3" max="3" width="14.85546875" bestFit="1" customWidth="1"/>
    <col min="4" max="4" width="16.85546875" bestFit="1" customWidth="1"/>
    <col min="5" max="5" width="20.42578125" customWidth="1"/>
    <col min="6" max="6" width="15.28515625" customWidth="1"/>
    <col min="9" max="9" width="28.5703125" customWidth="1"/>
  </cols>
  <sheetData>
    <row r="1" spans="1:6" ht="24" thickBot="1" x14ac:dyDescent="0.4">
      <c r="A1" s="95" t="s">
        <v>388</v>
      </c>
    </row>
    <row r="2" spans="1:6" x14ac:dyDescent="0.25">
      <c r="E2" s="35"/>
    </row>
    <row r="3" spans="1:6" ht="150.75" thickBot="1" x14ac:dyDescent="0.3">
      <c r="B3" s="41" t="s">
        <v>399</v>
      </c>
      <c r="C3" s="41"/>
      <c r="D3" s="41"/>
      <c r="E3" s="41"/>
      <c r="F3" s="41"/>
    </row>
    <row r="4" spans="1:6" ht="30" x14ac:dyDescent="0.25">
      <c r="A4" s="247" t="s">
        <v>484</v>
      </c>
      <c r="B4" s="246" t="s">
        <v>403</v>
      </c>
      <c r="C4" s="238" t="s">
        <v>401</v>
      </c>
      <c r="D4" s="238" t="s">
        <v>402</v>
      </c>
      <c r="E4" s="238" t="s">
        <v>419</v>
      </c>
      <c r="F4" s="239" t="s">
        <v>411</v>
      </c>
    </row>
    <row r="5" spans="1:6" ht="30" x14ac:dyDescent="0.25">
      <c r="A5" s="245" t="s">
        <v>485</v>
      </c>
      <c r="B5" s="123">
        <f>'Propulsion Subsystem Sizing'!D31</f>
        <v>10.496044244807379</v>
      </c>
      <c r="C5" s="122">
        <v>4</v>
      </c>
      <c r="D5" s="123">
        <f>C5*B5</f>
        <v>41.984176979229517</v>
      </c>
      <c r="E5" s="122" t="s">
        <v>417</v>
      </c>
      <c r="F5" s="124" t="s">
        <v>404</v>
      </c>
    </row>
    <row r="6" spans="1:6" ht="45" x14ac:dyDescent="0.25">
      <c r="A6" s="240" t="s">
        <v>427</v>
      </c>
      <c r="B6" s="122">
        <v>0.113</v>
      </c>
      <c r="C6" s="122">
        <v>4</v>
      </c>
      <c r="D6" s="123">
        <f>C6*B6</f>
        <v>0.45200000000000001</v>
      </c>
      <c r="E6" s="122" t="s">
        <v>418</v>
      </c>
      <c r="F6" s="124" t="s">
        <v>410</v>
      </c>
    </row>
    <row r="7" spans="1:6" ht="45" x14ac:dyDescent="0.25">
      <c r="A7" s="240"/>
      <c r="B7" s="122"/>
      <c r="C7" s="122"/>
      <c r="D7" s="123"/>
      <c r="E7" s="122"/>
      <c r="F7" s="124" t="s">
        <v>412</v>
      </c>
    </row>
    <row r="8" spans="1:6" ht="30" x14ac:dyDescent="0.25">
      <c r="A8" s="240" t="s">
        <v>428</v>
      </c>
      <c r="B8" s="122">
        <v>6.8000000000000005E-2</v>
      </c>
      <c r="C8" s="122">
        <v>4</v>
      </c>
      <c r="D8" s="123">
        <f>C8*B8</f>
        <v>0.27200000000000002</v>
      </c>
      <c r="E8" s="122" t="s">
        <v>418</v>
      </c>
      <c r="F8" s="124" t="s">
        <v>413</v>
      </c>
    </row>
    <row r="9" spans="1:6" ht="30" x14ac:dyDescent="0.25">
      <c r="A9" s="240"/>
      <c r="B9" s="122"/>
      <c r="C9" s="122"/>
      <c r="D9" s="123"/>
      <c r="E9" s="122"/>
      <c r="F9" s="124" t="s">
        <v>414</v>
      </c>
    </row>
    <row r="10" spans="1:6" x14ac:dyDescent="0.25">
      <c r="A10" s="240" t="s">
        <v>415</v>
      </c>
      <c r="B10" s="122">
        <v>2.3E-2</v>
      </c>
      <c r="C10" s="122">
        <v>4</v>
      </c>
      <c r="D10" s="123">
        <f>B10*C10</f>
        <v>9.1999999999999998E-2</v>
      </c>
      <c r="E10" s="122">
        <v>30</v>
      </c>
      <c r="F10" s="124" t="s">
        <v>420</v>
      </c>
    </row>
    <row r="11" spans="1:6" x14ac:dyDescent="0.25">
      <c r="A11" s="240"/>
      <c r="B11" s="122">
        <v>0.43</v>
      </c>
      <c r="C11" s="122">
        <v>4</v>
      </c>
      <c r="D11" s="123">
        <f>C11*B11</f>
        <v>1.72</v>
      </c>
      <c r="E11" s="122">
        <v>47</v>
      </c>
      <c r="F11" s="124" t="s">
        <v>421</v>
      </c>
    </row>
    <row r="12" spans="1:6" x14ac:dyDescent="0.25">
      <c r="A12" s="241" t="s">
        <v>422</v>
      </c>
      <c r="B12" s="128">
        <v>1</v>
      </c>
      <c r="C12" s="128">
        <v>4</v>
      </c>
      <c r="D12" s="129">
        <f>C12*B12</f>
        <v>4</v>
      </c>
      <c r="E12" s="128" t="s">
        <v>418</v>
      </c>
      <c r="F12" s="130" t="s">
        <v>129</v>
      </c>
    </row>
    <row r="13" spans="1:6" x14ac:dyDescent="0.25">
      <c r="A13" s="240" t="s">
        <v>434</v>
      </c>
      <c r="B13" s="122"/>
      <c r="C13" s="122"/>
      <c r="D13" s="123">
        <f>D11+D8+D6+D5</f>
        <v>44.428176979229519</v>
      </c>
      <c r="E13" s="122">
        <f>E11</f>
        <v>47</v>
      </c>
      <c r="F13" s="124"/>
    </row>
    <row r="14" spans="1:6" x14ac:dyDescent="0.25">
      <c r="A14" s="240" t="s">
        <v>349</v>
      </c>
      <c r="B14" s="122">
        <v>0.15</v>
      </c>
      <c r="C14" s="6"/>
      <c r="D14" s="6"/>
      <c r="E14" s="6"/>
      <c r="F14" s="56"/>
    </row>
    <row r="15" spans="1:6" ht="15.75" thickBot="1" x14ac:dyDescent="0.3">
      <c r="A15" s="242" t="s">
        <v>435</v>
      </c>
      <c r="B15" s="59"/>
      <c r="C15" s="59"/>
      <c r="D15" s="131">
        <f>D13*B14+D13</f>
        <v>51.092403526113948</v>
      </c>
      <c r="E15" s="132">
        <f>E13*B14+E13</f>
        <v>54.05</v>
      </c>
      <c r="F15" s="60"/>
    </row>
    <row r="17" spans="1:6" ht="30.75" thickBot="1" x14ac:dyDescent="0.3">
      <c r="B17" s="36" t="s">
        <v>438</v>
      </c>
    </row>
    <row r="18" spans="1:6" ht="42" x14ac:dyDescent="0.35">
      <c r="A18" s="251" t="s">
        <v>486</v>
      </c>
      <c r="B18" s="250" t="s">
        <v>403</v>
      </c>
      <c r="C18" s="189" t="s">
        <v>401</v>
      </c>
      <c r="D18" s="243" t="s">
        <v>402</v>
      </c>
      <c r="E18" s="230" t="s">
        <v>419</v>
      </c>
      <c r="F18" s="190" t="s">
        <v>411</v>
      </c>
    </row>
    <row r="19" spans="1:6" ht="30" x14ac:dyDescent="0.25">
      <c r="A19" s="191" t="s">
        <v>431</v>
      </c>
      <c r="B19" s="16">
        <f>B5</f>
        <v>10.496044244807379</v>
      </c>
      <c r="C19" s="16">
        <v>2</v>
      </c>
      <c r="D19" s="16">
        <f>C19*B19</f>
        <v>20.992088489614758</v>
      </c>
      <c r="E19" s="44" t="s">
        <v>418</v>
      </c>
      <c r="F19" s="161" t="s">
        <v>404</v>
      </c>
    </row>
    <row r="20" spans="1:6" ht="45" x14ac:dyDescent="0.25">
      <c r="A20" s="191" t="s">
        <v>425</v>
      </c>
      <c r="B20" s="16">
        <v>1.2</v>
      </c>
      <c r="C20" s="16">
        <v>2</v>
      </c>
      <c r="D20" s="16">
        <f>C20*B20</f>
        <v>2.4</v>
      </c>
      <c r="E20" s="44">
        <v>10</v>
      </c>
      <c r="F20" s="161" t="s">
        <v>433</v>
      </c>
    </row>
    <row r="21" spans="1:6" ht="30" x14ac:dyDescent="0.25">
      <c r="A21" s="191" t="s">
        <v>432</v>
      </c>
      <c r="B21" s="16">
        <f>B5</f>
        <v>10.496044244807379</v>
      </c>
      <c r="C21" s="16">
        <v>2</v>
      </c>
      <c r="D21" s="16">
        <f>C21*B21</f>
        <v>20.992088489614758</v>
      </c>
      <c r="E21" s="44" t="s">
        <v>418</v>
      </c>
      <c r="F21" s="161" t="s">
        <v>404</v>
      </c>
    </row>
    <row r="22" spans="1:6" x14ac:dyDescent="0.25">
      <c r="A22" s="191" t="s">
        <v>423</v>
      </c>
      <c r="B22" s="16"/>
      <c r="C22" s="16">
        <v>4</v>
      </c>
      <c r="D22" s="16"/>
      <c r="E22" s="44"/>
      <c r="F22" s="161"/>
    </row>
    <row r="23" spans="1:6" ht="45" x14ac:dyDescent="0.25">
      <c r="A23" s="191" t="s">
        <v>415</v>
      </c>
      <c r="B23" s="16">
        <v>1</v>
      </c>
      <c r="C23" s="16">
        <v>4</v>
      </c>
      <c r="D23" s="16">
        <f>C23*B23</f>
        <v>4</v>
      </c>
      <c r="E23" s="44">
        <v>15</v>
      </c>
      <c r="F23" s="161" t="s">
        <v>429</v>
      </c>
    </row>
    <row r="24" spans="1:6" ht="45" x14ac:dyDescent="0.25">
      <c r="A24" s="191"/>
      <c r="B24" s="16">
        <v>0.5</v>
      </c>
      <c r="C24" s="16">
        <v>4</v>
      </c>
      <c r="D24" s="16">
        <f>C24*B24</f>
        <v>2</v>
      </c>
      <c r="E24" s="44">
        <v>30</v>
      </c>
      <c r="F24" s="161" t="s">
        <v>430</v>
      </c>
    </row>
    <row r="25" spans="1:6" ht="15.75" thickBot="1" x14ac:dyDescent="0.3">
      <c r="A25" s="244" t="s">
        <v>422</v>
      </c>
      <c r="B25" s="248">
        <v>1</v>
      </c>
      <c r="C25" s="248">
        <v>4</v>
      </c>
      <c r="D25" s="248">
        <f>C25*B25</f>
        <v>4</v>
      </c>
      <c r="E25" s="248" t="s">
        <v>418</v>
      </c>
      <c r="F25" s="249"/>
    </row>
    <row r="26" spans="1:6" ht="15.75" thickTop="1" x14ac:dyDescent="0.25">
      <c r="A26" s="245" t="s">
        <v>434</v>
      </c>
      <c r="B26" s="117"/>
      <c r="C26" s="117"/>
      <c r="D26" s="117">
        <f>D25+D23+D21+D20+D19</f>
        <v>52.384176979229515</v>
      </c>
      <c r="E26" s="117">
        <f>E23+E20</f>
        <v>25</v>
      </c>
      <c r="F26" s="223"/>
    </row>
    <row r="27" spans="1:6" x14ac:dyDescent="0.25">
      <c r="A27" s="240" t="s">
        <v>349</v>
      </c>
      <c r="B27" s="16">
        <v>0.15</v>
      </c>
      <c r="C27" s="16"/>
      <c r="D27" s="16"/>
      <c r="E27" s="16"/>
      <c r="F27" s="57"/>
    </row>
    <row r="28" spans="1:6" ht="15.75" thickBot="1" x14ac:dyDescent="0.3">
      <c r="A28" s="242" t="s">
        <v>435</v>
      </c>
      <c r="B28" s="127"/>
      <c r="C28" s="127"/>
      <c r="D28" s="131">
        <f>D26*B27+D26</f>
        <v>60.241803526113941</v>
      </c>
      <c r="E28" s="131">
        <f>E26*B27+E26</f>
        <v>28.75</v>
      </c>
      <c r="F28" s="154"/>
    </row>
    <row r="35" spans="1:6" ht="30.75" thickBot="1" x14ac:dyDescent="0.3">
      <c r="B35" s="36" t="s">
        <v>439</v>
      </c>
    </row>
    <row r="36" spans="1:6" ht="42" x14ac:dyDescent="0.35">
      <c r="A36" s="251" t="s">
        <v>487</v>
      </c>
      <c r="B36" s="189" t="s">
        <v>403</v>
      </c>
      <c r="C36" s="189" t="s">
        <v>401</v>
      </c>
      <c r="D36" s="243" t="s">
        <v>402</v>
      </c>
      <c r="E36" s="230" t="s">
        <v>419</v>
      </c>
      <c r="F36" s="190" t="s">
        <v>411</v>
      </c>
    </row>
    <row r="37" spans="1:6" ht="30" x14ac:dyDescent="0.25">
      <c r="A37" s="191" t="s">
        <v>424</v>
      </c>
      <c r="B37" s="16">
        <f>B19</f>
        <v>10.496044244807379</v>
      </c>
      <c r="C37" s="6">
        <v>3</v>
      </c>
      <c r="D37" s="16">
        <f>C37*B37</f>
        <v>31.488132734422138</v>
      </c>
      <c r="E37" s="6" t="s">
        <v>418</v>
      </c>
      <c r="F37" s="120" t="s">
        <v>404</v>
      </c>
    </row>
    <row r="38" spans="1:6" ht="30" x14ac:dyDescent="0.25">
      <c r="A38" s="191" t="s">
        <v>426</v>
      </c>
      <c r="B38" s="16">
        <f>B5</f>
        <v>10.496044244807379</v>
      </c>
      <c r="C38" s="6">
        <v>1</v>
      </c>
      <c r="D38" s="16">
        <f>C38*B38</f>
        <v>10.496044244807379</v>
      </c>
      <c r="E38" s="6" t="s">
        <v>418</v>
      </c>
      <c r="F38" s="120" t="s">
        <v>404</v>
      </c>
    </row>
    <row r="39" spans="1:6" ht="45" x14ac:dyDescent="0.25">
      <c r="A39" s="191" t="s">
        <v>436</v>
      </c>
      <c r="B39" s="6">
        <v>17.579999999999998</v>
      </c>
      <c r="C39" s="6">
        <v>1</v>
      </c>
      <c r="D39" s="6">
        <f>C39*B39</f>
        <v>17.579999999999998</v>
      </c>
      <c r="E39" s="6">
        <v>50</v>
      </c>
      <c r="F39" s="120" t="s">
        <v>491</v>
      </c>
    </row>
    <row r="40" spans="1:6" x14ac:dyDescent="0.25">
      <c r="A40" s="191" t="s">
        <v>415</v>
      </c>
      <c r="B40" s="6">
        <v>2.58</v>
      </c>
      <c r="C40" s="6">
        <v>4</v>
      </c>
      <c r="D40" s="6">
        <f>C40*B40</f>
        <v>10.32</v>
      </c>
      <c r="E40" s="6">
        <f>'EP Data'!C36*1000</f>
        <v>70</v>
      </c>
      <c r="F40" s="120" t="s">
        <v>437</v>
      </c>
    </row>
    <row r="41" spans="1:6" x14ac:dyDescent="0.25">
      <c r="A41" s="191" t="s">
        <v>422</v>
      </c>
      <c r="B41" s="6">
        <v>2</v>
      </c>
      <c r="C41" s="6">
        <v>4</v>
      </c>
      <c r="D41" s="6">
        <f>C41*B41</f>
        <v>8</v>
      </c>
      <c r="E41" s="6" t="s">
        <v>418</v>
      </c>
      <c r="F41" s="56"/>
    </row>
    <row r="42" spans="1:6" x14ac:dyDescent="0.25">
      <c r="A42" s="240" t="s">
        <v>434</v>
      </c>
      <c r="B42" s="6"/>
      <c r="C42" s="6"/>
      <c r="D42" s="16">
        <f>D41+D40+D39+D38+D37</f>
        <v>77.884176979229522</v>
      </c>
      <c r="E42" s="6">
        <f>E40+E39</f>
        <v>120</v>
      </c>
      <c r="F42" s="56"/>
    </row>
    <row r="43" spans="1:6" x14ac:dyDescent="0.25">
      <c r="A43" s="240" t="s">
        <v>349</v>
      </c>
      <c r="B43" s="6">
        <v>0.2</v>
      </c>
      <c r="C43" s="6"/>
      <c r="D43" s="6"/>
      <c r="E43" s="6"/>
      <c r="F43" s="56"/>
    </row>
    <row r="44" spans="1:6" ht="15.75" thickBot="1" x14ac:dyDescent="0.3">
      <c r="A44" s="242" t="s">
        <v>435</v>
      </c>
      <c r="B44" s="59"/>
      <c r="C44" s="59"/>
      <c r="D44" s="131">
        <f>D42*B43+D42</f>
        <v>93.461012375075427</v>
      </c>
      <c r="E44" s="132">
        <f>E42*B43+E42</f>
        <v>144</v>
      </c>
      <c r="F44" s="60"/>
    </row>
  </sheetData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opLeftCell="M61" workbookViewId="0">
      <selection activeCell="A16" sqref="A16"/>
    </sheetView>
  </sheetViews>
  <sheetFormatPr defaultRowHeight="15" x14ac:dyDescent="0.25"/>
  <cols>
    <col min="1" max="1" width="17.28515625" style="35" bestFit="1" customWidth="1"/>
    <col min="2" max="2" width="21.7109375" style="35" customWidth="1"/>
    <col min="3" max="3" width="14.5703125" style="35" customWidth="1"/>
    <col min="4" max="4" width="14.85546875" style="35" customWidth="1"/>
    <col min="5" max="5" width="14.5703125" style="35" customWidth="1"/>
    <col min="6" max="16384" width="9.140625" style="35"/>
  </cols>
  <sheetData>
    <row r="1" spans="1:14" ht="24" thickBot="1" x14ac:dyDescent="0.4">
      <c r="A1" s="176" t="s">
        <v>475</v>
      </c>
    </row>
    <row r="3" spans="1:14" ht="15.75" thickBot="1" x14ac:dyDescent="0.3">
      <c r="A3" s="35" t="s">
        <v>473</v>
      </c>
      <c r="B3" s="35" t="s">
        <v>474</v>
      </c>
      <c r="F3" s="28"/>
      <c r="G3" s="28"/>
      <c r="H3" s="28"/>
      <c r="I3" s="28"/>
      <c r="J3" s="28"/>
      <c r="K3" s="28"/>
      <c r="L3" s="28"/>
      <c r="M3" s="28"/>
      <c r="N3" s="28"/>
    </row>
    <row r="4" spans="1:14" ht="30.75" thickBot="1" x14ac:dyDescent="0.3">
      <c r="A4" s="168" t="s">
        <v>73</v>
      </c>
      <c r="B4" s="173" t="s">
        <v>161</v>
      </c>
      <c r="D4" s="267" t="s">
        <v>476</v>
      </c>
      <c r="E4" s="268">
        <v>1</v>
      </c>
      <c r="F4" s="98">
        <v>2</v>
      </c>
      <c r="G4" s="98">
        <v>3</v>
      </c>
      <c r="H4" s="98">
        <v>4</v>
      </c>
      <c r="I4" s="98">
        <v>5</v>
      </c>
      <c r="J4" s="98">
        <v>6</v>
      </c>
      <c r="K4" s="98">
        <v>7</v>
      </c>
      <c r="L4" s="98">
        <v>8</v>
      </c>
      <c r="M4" s="98">
        <v>9</v>
      </c>
      <c r="N4" s="125">
        <v>10</v>
      </c>
    </row>
    <row r="5" spans="1:14" ht="60" x14ac:dyDescent="0.25">
      <c r="A5" s="168" t="s">
        <v>19</v>
      </c>
      <c r="B5" s="173" t="s">
        <v>459</v>
      </c>
      <c r="C5" s="12" t="s">
        <v>492</v>
      </c>
      <c r="D5" s="269" t="s">
        <v>135</v>
      </c>
      <c r="E5" s="202">
        <v>8.7929999999999993</v>
      </c>
      <c r="F5" s="202">
        <v>17.509</v>
      </c>
      <c r="G5" s="202">
        <v>26.225000000000001</v>
      </c>
      <c r="H5" s="202">
        <v>34.941000000000003</v>
      </c>
      <c r="I5" s="202">
        <v>43.656999999999996</v>
      </c>
      <c r="J5" s="202">
        <v>52.372999999999998</v>
      </c>
      <c r="K5" s="202">
        <v>61.088999999999999</v>
      </c>
      <c r="L5" s="202">
        <v>69.805000000000007</v>
      </c>
      <c r="M5" s="202">
        <v>78.521000000000001</v>
      </c>
      <c r="N5" s="172">
        <v>87.236999999999995</v>
      </c>
    </row>
    <row r="6" spans="1:14" ht="30" x14ac:dyDescent="0.25">
      <c r="A6" s="168" t="s">
        <v>20</v>
      </c>
      <c r="B6" s="36"/>
      <c r="D6" s="270" t="s">
        <v>137</v>
      </c>
      <c r="E6" s="202">
        <v>12.170999999999999</v>
      </c>
      <c r="F6" s="202">
        <v>24.234999999999999</v>
      </c>
      <c r="G6" s="202">
        <v>36.298000000000002</v>
      </c>
      <c r="H6" s="202">
        <v>48.360999999999997</v>
      </c>
      <c r="I6" s="202">
        <v>60.424999999999997</v>
      </c>
      <c r="J6" s="202">
        <v>72.488</v>
      </c>
      <c r="K6" s="202">
        <v>84.552000000000007</v>
      </c>
      <c r="L6" s="202">
        <v>96.614999999999995</v>
      </c>
      <c r="M6" s="202">
        <v>108.678</v>
      </c>
      <c r="N6" s="172">
        <v>120.742</v>
      </c>
    </row>
    <row r="7" spans="1:14" x14ac:dyDescent="0.25">
      <c r="A7" s="36"/>
      <c r="B7" s="36"/>
      <c r="D7" s="270" t="s">
        <v>139</v>
      </c>
      <c r="E7" s="202">
        <v>9.5890000000000004</v>
      </c>
      <c r="F7" s="202">
        <v>19.093</v>
      </c>
      <c r="G7" s="202">
        <v>28.597999999999999</v>
      </c>
      <c r="H7" s="202">
        <v>38.103000000000002</v>
      </c>
      <c r="I7" s="202">
        <v>47.606999999999999</v>
      </c>
      <c r="J7" s="202">
        <v>57.112000000000002</v>
      </c>
      <c r="K7" s="202">
        <v>66.617000000000004</v>
      </c>
      <c r="L7" s="202">
        <v>76.120999999999995</v>
      </c>
      <c r="M7" s="202">
        <v>85.626000000000005</v>
      </c>
      <c r="N7" s="172">
        <v>95.131</v>
      </c>
    </row>
    <row r="8" spans="1:14" x14ac:dyDescent="0.25">
      <c r="D8" s="270" t="s">
        <v>140</v>
      </c>
      <c r="E8" s="202">
        <v>3.8519999999999999</v>
      </c>
      <c r="F8" s="202">
        <v>7.6719999999999997</v>
      </c>
      <c r="G8" s="202">
        <v>11.491</v>
      </c>
      <c r="H8" s="202">
        <v>15.311</v>
      </c>
      <c r="I8" s="202">
        <v>19.131</v>
      </c>
      <c r="J8" s="202">
        <v>22.95</v>
      </c>
      <c r="K8" s="202">
        <v>26.77</v>
      </c>
      <c r="L8" s="202">
        <v>30.588999999999999</v>
      </c>
      <c r="M8" s="202">
        <v>34.408999999999999</v>
      </c>
      <c r="N8" s="172">
        <v>38.228999999999999</v>
      </c>
    </row>
    <row r="9" spans="1:14" x14ac:dyDescent="0.25">
      <c r="D9" s="270" t="s">
        <v>141</v>
      </c>
      <c r="E9" s="202">
        <v>2.3290000000000002</v>
      </c>
      <c r="F9" s="202">
        <v>4.6390000000000002</v>
      </c>
      <c r="G9" s="202">
        <v>6.9489999999999998</v>
      </c>
      <c r="H9" s="202">
        <v>9.2590000000000003</v>
      </c>
      <c r="I9" s="202">
        <v>11.568</v>
      </c>
      <c r="J9" s="202">
        <v>13.878</v>
      </c>
      <c r="K9" s="202">
        <v>16.187999999999999</v>
      </c>
      <c r="L9" s="202">
        <v>18.497</v>
      </c>
      <c r="M9" s="202">
        <v>20.806999999999999</v>
      </c>
      <c r="N9" s="172">
        <v>23.117000000000001</v>
      </c>
    </row>
    <row r="10" spans="1:14" x14ac:dyDescent="0.25">
      <c r="D10" s="270" t="s">
        <v>142</v>
      </c>
      <c r="E10" s="202">
        <v>8.6470000000000002</v>
      </c>
      <c r="F10" s="202">
        <v>17.219000000000001</v>
      </c>
      <c r="G10" s="202">
        <v>25.791</v>
      </c>
      <c r="H10" s="202">
        <v>34.363</v>
      </c>
      <c r="I10" s="202">
        <v>42.935000000000002</v>
      </c>
      <c r="J10" s="202">
        <v>51.506</v>
      </c>
      <c r="K10" s="202">
        <v>60.078000000000003</v>
      </c>
      <c r="L10" s="202">
        <v>68.650000000000006</v>
      </c>
      <c r="M10" s="202">
        <v>77.221999999999994</v>
      </c>
      <c r="N10" s="172">
        <v>85.793999999999997</v>
      </c>
    </row>
    <row r="11" spans="1:14" x14ac:dyDescent="0.25">
      <c r="D11" s="270" t="s">
        <v>143</v>
      </c>
      <c r="E11" s="202">
        <v>9.2010000000000005</v>
      </c>
      <c r="F11" s="202">
        <v>18.321000000000002</v>
      </c>
      <c r="G11" s="202">
        <v>27.440999999999999</v>
      </c>
      <c r="H11" s="202">
        <v>36.561999999999998</v>
      </c>
      <c r="I11" s="202">
        <v>45.682000000000002</v>
      </c>
      <c r="J11" s="202">
        <v>54.802999999999997</v>
      </c>
      <c r="K11" s="202">
        <v>63.923000000000002</v>
      </c>
      <c r="L11" s="202">
        <v>73.043000000000006</v>
      </c>
      <c r="M11" s="202">
        <v>82.164000000000001</v>
      </c>
      <c r="N11" s="172">
        <v>91.284000000000006</v>
      </c>
    </row>
    <row r="12" spans="1:14" x14ac:dyDescent="0.25">
      <c r="D12" s="270" t="s">
        <v>144</v>
      </c>
      <c r="E12" s="202">
        <v>6.8369999999999997</v>
      </c>
      <c r="F12" s="202">
        <v>13.615</v>
      </c>
      <c r="G12" s="202">
        <v>20.393999999999998</v>
      </c>
      <c r="H12" s="202">
        <v>27.172000000000001</v>
      </c>
      <c r="I12" s="202">
        <v>33.950000000000003</v>
      </c>
      <c r="J12" s="202">
        <v>40.728000000000002</v>
      </c>
      <c r="K12" s="202">
        <v>47.506</v>
      </c>
      <c r="L12" s="202">
        <v>54.284999999999997</v>
      </c>
      <c r="M12" s="202">
        <v>61.063000000000002</v>
      </c>
      <c r="N12" s="172">
        <v>67.840999999999994</v>
      </c>
    </row>
    <row r="13" spans="1:14" x14ac:dyDescent="0.25">
      <c r="D13" s="270" t="s">
        <v>145</v>
      </c>
      <c r="E13" s="202">
        <v>6.6379999999999999</v>
      </c>
      <c r="F13" s="202">
        <v>13.218</v>
      </c>
      <c r="G13" s="202">
        <v>19.798999999999999</v>
      </c>
      <c r="H13" s="202">
        <v>26.379000000000001</v>
      </c>
      <c r="I13" s="202">
        <v>32.959000000000003</v>
      </c>
      <c r="J13" s="202">
        <v>39.54</v>
      </c>
      <c r="K13" s="202">
        <v>46.12</v>
      </c>
      <c r="L13" s="202">
        <v>52.701000000000001</v>
      </c>
      <c r="M13" s="202">
        <v>59.280999999999999</v>
      </c>
      <c r="N13" s="172">
        <v>65.861999999999995</v>
      </c>
    </row>
    <row r="14" spans="1:14" ht="30" x14ac:dyDescent="0.25">
      <c r="D14" s="133" t="s">
        <v>168</v>
      </c>
      <c r="E14" s="202">
        <v>2.7</v>
      </c>
      <c r="F14" s="202">
        <v>5.3769999999999998</v>
      </c>
      <c r="G14" s="202">
        <v>8.0540000000000003</v>
      </c>
      <c r="H14" s="202">
        <v>10.731</v>
      </c>
      <c r="I14" s="202">
        <v>13.407999999999999</v>
      </c>
      <c r="J14" s="202">
        <v>16.085000000000001</v>
      </c>
      <c r="K14" s="202">
        <v>18.762</v>
      </c>
      <c r="L14" s="202">
        <v>21.439</v>
      </c>
      <c r="M14" s="202">
        <v>24.116</v>
      </c>
      <c r="N14" s="172">
        <v>26.792999999999999</v>
      </c>
    </row>
    <row r="15" spans="1:14" x14ac:dyDescent="0.25">
      <c r="D15" s="271"/>
      <c r="E15" s="40"/>
      <c r="F15" s="40"/>
      <c r="G15" s="40"/>
      <c r="H15" s="40"/>
      <c r="I15" s="40"/>
      <c r="J15" s="40"/>
      <c r="K15" s="40"/>
      <c r="L15" s="40"/>
      <c r="M15" s="40"/>
      <c r="N15" s="272"/>
    </row>
    <row r="16" spans="1:14" x14ac:dyDescent="0.25">
      <c r="A16" s="168" t="s">
        <v>74</v>
      </c>
      <c r="B16" s="173" t="s">
        <v>161</v>
      </c>
      <c r="D16" s="270" t="s">
        <v>135</v>
      </c>
      <c r="E16" s="202">
        <v>10.163</v>
      </c>
      <c r="F16" s="202">
        <v>20.312999999999999</v>
      </c>
      <c r="G16" s="202">
        <v>30.463000000000001</v>
      </c>
      <c r="H16" s="202">
        <v>40.613</v>
      </c>
      <c r="I16" s="202">
        <v>50.762999999999998</v>
      </c>
      <c r="J16" s="202">
        <v>60.912999999999997</v>
      </c>
      <c r="K16" s="202">
        <v>71.063000000000002</v>
      </c>
      <c r="L16" s="202">
        <v>81.212999999999994</v>
      </c>
      <c r="M16" s="202">
        <v>91.363</v>
      </c>
      <c r="N16" s="172">
        <v>101.51300000000001</v>
      </c>
    </row>
    <row r="17" spans="1:14" ht="60" x14ac:dyDescent="0.25">
      <c r="A17" s="168" t="s">
        <v>300</v>
      </c>
      <c r="B17" s="173" t="s">
        <v>459</v>
      </c>
      <c r="D17" s="270" t="s">
        <v>137</v>
      </c>
      <c r="E17" s="202">
        <v>14.067</v>
      </c>
      <c r="F17" s="202">
        <v>28.114999999999998</v>
      </c>
      <c r="G17" s="202">
        <v>42.161999999999999</v>
      </c>
      <c r="H17" s="202">
        <v>56.21</v>
      </c>
      <c r="I17" s="202">
        <v>70.257999999999996</v>
      </c>
      <c r="J17" s="202">
        <v>84.305999999999997</v>
      </c>
      <c r="K17" s="202">
        <v>98.353999999999999</v>
      </c>
      <c r="L17" s="202">
        <v>112.402</v>
      </c>
      <c r="M17" s="202">
        <v>126.45</v>
      </c>
      <c r="N17" s="172">
        <v>140.49700000000001</v>
      </c>
    </row>
    <row r="18" spans="1:14" ht="45" x14ac:dyDescent="0.25">
      <c r="A18" s="168" t="s">
        <v>301</v>
      </c>
      <c r="B18" s="36"/>
      <c r="D18" s="270" t="s">
        <v>139</v>
      </c>
      <c r="E18" s="202">
        <v>11.083</v>
      </c>
      <c r="F18" s="202">
        <v>22.151</v>
      </c>
      <c r="G18" s="202">
        <v>33.22</v>
      </c>
      <c r="H18" s="202">
        <v>44.287999999999997</v>
      </c>
      <c r="I18" s="202">
        <v>55.356000000000002</v>
      </c>
      <c r="J18" s="202">
        <v>66.424000000000007</v>
      </c>
      <c r="K18" s="202">
        <v>77.492000000000004</v>
      </c>
      <c r="L18" s="202">
        <v>88.561000000000007</v>
      </c>
      <c r="M18" s="202">
        <v>99.629000000000005</v>
      </c>
      <c r="N18" s="172">
        <v>110.697</v>
      </c>
    </row>
    <row r="19" spans="1:14" x14ac:dyDescent="0.25">
      <c r="D19" s="270" t="s">
        <v>140</v>
      </c>
      <c r="E19" s="202">
        <v>4.4539999999999997</v>
      </c>
      <c r="F19" s="202">
        <v>8.9019999999999992</v>
      </c>
      <c r="G19" s="202">
        <v>13.35</v>
      </c>
      <c r="H19" s="202">
        <v>17.797999999999998</v>
      </c>
      <c r="I19" s="202">
        <v>22.245999999999999</v>
      </c>
      <c r="J19" s="202">
        <v>26.693000000000001</v>
      </c>
      <c r="K19" s="202">
        <v>31.140999999999998</v>
      </c>
      <c r="L19" s="202">
        <v>35.588999999999999</v>
      </c>
      <c r="M19" s="202">
        <v>40.036999999999999</v>
      </c>
      <c r="N19" s="172">
        <v>44.484999999999999</v>
      </c>
    </row>
    <row r="20" spans="1:14" x14ac:dyDescent="0.25">
      <c r="D20" s="270" t="s">
        <v>141</v>
      </c>
      <c r="E20" s="202">
        <v>2.6930000000000001</v>
      </c>
      <c r="F20" s="202">
        <v>5.383</v>
      </c>
      <c r="G20" s="202">
        <v>8.0730000000000004</v>
      </c>
      <c r="H20" s="202">
        <v>10.762</v>
      </c>
      <c r="I20" s="202">
        <v>13.452</v>
      </c>
      <c r="J20" s="202">
        <v>16.141999999999999</v>
      </c>
      <c r="K20" s="202">
        <v>18.831</v>
      </c>
      <c r="L20" s="202">
        <v>21.521000000000001</v>
      </c>
      <c r="M20" s="202">
        <v>24.210999999999999</v>
      </c>
      <c r="N20" s="172">
        <v>26.9</v>
      </c>
    </row>
    <row r="21" spans="1:14" x14ac:dyDescent="0.25">
      <c r="D21" s="270" t="s">
        <v>142</v>
      </c>
      <c r="E21" s="202">
        <v>9.9949999999999992</v>
      </c>
      <c r="F21" s="202">
        <v>19.977</v>
      </c>
      <c r="G21" s="202">
        <v>29.959</v>
      </c>
      <c r="H21" s="202">
        <v>39.941000000000003</v>
      </c>
      <c r="I21" s="202">
        <v>49.923000000000002</v>
      </c>
      <c r="J21" s="202">
        <v>59.905000000000001</v>
      </c>
      <c r="K21" s="202">
        <v>69.887</v>
      </c>
      <c r="L21" s="202">
        <v>79.869</v>
      </c>
      <c r="M21" s="202">
        <v>89.850999999999999</v>
      </c>
      <c r="N21" s="172">
        <v>99.832999999999998</v>
      </c>
    </row>
    <row r="22" spans="1:14" x14ac:dyDescent="0.25">
      <c r="D22" s="270" t="s">
        <v>143</v>
      </c>
      <c r="E22" s="202">
        <v>10.635</v>
      </c>
      <c r="F22" s="202">
        <v>21.256</v>
      </c>
      <c r="G22" s="202">
        <v>31.876000000000001</v>
      </c>
      <c r="H22" s="202">
        <v>42.497</v>
      </c>
      <c r="I22" s="202">
        <v>53.118000000000002</v>
      </c>
      <c r="J22" s="202">
        <v>63.738999999999997</v>
      </c>
      <c r="K22" s="202">
        <v>74.358999999999995</v>
      </c>
      <c r="L22" s="202">
        <v>84.98</v>
      </c>
      <c r="M22" s="202">
        <v>95.600999999999999</v>
      </c>
      <c r="N22" s="172">
        <v>106.221</v>
      </c>
    </row>
    <row r="23" spans="1:14" x14ac:dyDescent="0.25">
      <c r="D23" s="270" t="s">
        <v>144</v>
      </c>
      <c r="E23" s="202">
        <v>7.9039999999999999</v>
      </c>
      <c r="F23" s="202">
        <v>15.797000000000001</v>
      </c>
      <c r="G23" s="202">
        <v>23.69</v>
      </c>
      <c r="H23" s="202">
        <v>31.582999999999998</v>
      </c>
      <c r="I23" s="202">
        <v>39.476999999999997</v>
      </c>
      <c r="J23" s="202">
        <v>47.37</v>
      </c>
      <c r="K23" s="202">
        <v>55.262999999999998</v>
      </c>
      <c r="L23" s="202">
        <v>63.155999999999999</v>
      </c>
      <c r="M23" s="202">
        <v>71.05</v>
      </c>
      <c r="N23" s="172">
        <v>78.942999999999998</v>
      </c>
    </row>
    <row r="24" spans="1:14" x14ac:dyDescent="0.25">
      <c r="D24" s="270" t="s">
        <v>145</v>
      </c>
      <c r="E24" s="202">
        <v>7.673</v>
      </c>
      <c r="F24" s="202">
        <v>15.336</v>
      </c>
      <c r="G24" s="202">
        <v>22.998999999999999</v>
      </c>
      <c r="H24" s="202">
        <v>30.661999999999999</v>
      </c>
      <c r="I24" s="202">
        <v>38.325000000000003</v>
      </c>
      <c r="J24" s="202">
        <v>45.988</v>
      </c>
      <c r="K24" s="202">
        <v>53.651000000000003</v>
      </c>
      <c r="L24" s="202">
        <v>61.314</v>
      </c>
      <c r="M24" s="202">
        <v>68.997</v>
      </c>
      <c r="N24" s="172">
        <v>76.64</v>
      </c>
    </row>
    <row r="25" spans="1:14" ht="30.75" thickBot="1" x14ac:dyDescent="0.3">
      <c r="D25" s="273" t="s">
        <v>168</v>
      </c>
      <c r="E25" s="274">
        <v>3.1219999999999999</v>
      </c>
      <c r="F25" s="274">
        <v>6.2389999999999999</v>
      </c>
      <c r="G25" s="274">
        <v>9.3559999999999999</v>
      </c>
      <c r="H25" s="274">
        <v>12.474</v>
      </c>
      <c r="I25" s="274">
        <v>15.590999999999999</v>
      </c>
      <c r="J25" s="274">
        <v>18.707999999999998</v>
      </c>
      <c r="K25" s="274">
        <v>21.826000000000001</v>
      </c>
      <c r="L25" s="274">
        <v>24.943000000000001</v>
      </c>
      <c r="M25" s="274">
        <v>28.06</v>
      </c>
      <c r="N25" s="275">
        <v>31.178000000000001</v>
      </c>
    </row>
    <row r="26" spans="1:14" ht="15.75" thickBot="1" x14ac:dyDescent="0.3"/>
    <row r="27" spans="1:14" ht="30" x14ac:dyDescent="0.25">
      <c r="D27" s="52" t="s">
        <v>476</v>
      </c>
      <c r="E27" s="276">
        <v>1</v>
      </c>
      <c r="F27" s="98">
        <v>2</v>
      </c>
      <c r="G27" s="98">
        <v>3</v>
      </c>
      <c r="H27" s="98">
        <v>4</v>
      </c>
      <c r="I27" s="98">
        <v>5</v>
      </c>
      <c r="J27" s="98">
        <v>6</v>
      </c>
      <c r="K27" s="98">
        <v>7</v>
      </c>
      <c r="L27" s="98">
        <v>8</v>
      </c>
      <c r="M27" s="98">
        <v>9</v>
      </c>
      <c r="N27" s="125">
        <v>10</v>
      </c>
    </row>
    <row r="28" spans="1:14" ht="45" x14ac:dyDescent="0.25">
      <c r="A28" s="168" t="s">
        <v>73</v>
      </c>
      <c r="B28" s="173" t="s">
        <v>161</v>
      </c>
      <c r="C28" s="12" t="s">
        <v>493</v>
      </c>
      <c r="D28" s="133" t="s">
        <v>139</v>
      </c>
      <c r="E28" s="202">
        <v>0.313</v>
      </c>
      <c r="F28" s="202">
        <v>0.624</v>
      </c>
      <c r="G28" s="202">
        <v>0.93400000000000005</v>
      </c>
      <c r="H28" s="202">
        <v>1.2450000000000001</v>
      </c>
      <c r="I28" s="202">
        <v>1.556</v>
      </c>
      <c r="J28" s="202">
        <v>1.8660000000000001</v>
      </c>
      <c r="K28" s="202">
        <v>2.177</v>
      </c>
      <c r="L28" s="202">
        <v>2.4870000000000001</v>
      </c>
      <c r="M28" s="202">
        <v>2.798</v>
      </c>
      <c r="N28" s="172">
        <v>3.1080000000000001</v>
      </c>
    </row>
    <row r="29" spans="1:14" ht="60" x14ac:dyDescent="0.25">
      <c r="A29" s="168" t="s">
        <v>19</v>
      </c>
      <c r="B29" s="173" t="s">
        <v>459</v>
      </c>
      <c r="D29" s="133" t="s">
        <v>144</v>
      </c>
      <c r="E29" s="202">
        <v>0.16900000000000001</v>
      </c>
      <c r="F29" s="202">
        <v>0.33700000000000002</v>
      </c>
      <c r="G29" s="202">
        <v>0.504</v>
      </c>
      <c r="H29" s="202">
        <v>0.67200000000000004</v>
      </c>
      <c r="I29" s="202">
        <v>0.84</v>
      </c>
      <c r="J29" s="202">
        <v>1.0069999999999999</v>
      </c>
      <c r="K29" s="202">
        <v>1.175</v>
      </c>
      <c r="L29" s="202">
        <v>1.343</v>
      </c>
      <c r="M29" s="202">
        <v>1.51</v>
      </c>
      <c r="N29" s="172">
        <v>1.6779999999999999</v>
      </c>
    </row>
    <row r="30" spans="1:14" ht="30" x14ac:dyDescent="0.25">
      <c r="A30" s="168" t="s">
        <v>20</v>
      </c>
      <c r="B30" s="36"/>
      <c r="D30" s="133" t="s">
        <v>145</v>
      </c>
      <c r="E30" s="202">
        <v>0.217</v>
      </c>
      <c r="F30" s="202">
        <v>0.432</v>
      </c>
      <c r="G30" s="202">
        <v>0.64700000000000002</v>
      </c>
      <c r="H30" s="202">
        <v>0.86199999999999999</v>
      </c>
      <c r="I30" s="202">
        <v>1.077</v>
      </c>
      <c r="J30" s="202">
        <v>1.2929999999999999</v>
      </c>
      <c r="K30" s="202">
        <v>1.508</v>
      </c>
      <c r="L30" s="202">
        <v>1.7230000000000001</v>
      </c>
      <c r="M30" s="202">
        <v>1.9379999999999999</v>
      </c>
      <c r="N30" s="172">
        <v>2.153</v>
      </c>
    </row>
    <row r="31" spans="1:14" ht="30" x14ac:dyDescent="0.25">
      <c r="D31" s="121" t="s">
        <v>168</v>
      </c>
      <c r="E31" s="202">
        <v>2.0999999999999999E-3</v>
      </c>
      <c r="F31" s="202">
        <v>4.1000000000000003E-3</v>
      </c>
      <c r="G31" s="202">
        <v>6.1999999999999998E-3</v>
      </c>
      <c r="H31" s="202">
        <v>8.3000000000000001E-3</v>
      </c>
      <c r="I31" s="202">
        <v>1.03E-2</v>
      </c>
      <c r="J31" s="202">
        <v>1.24E-2</v>
      </c>
      <c r="K31" s="202">
        <v>1.44E-2</v>
      </c>
      <c r="L31" s="202">
        <v>1.6500000000000001E-2</v>
      </c>
      <c r="M31" s="202">
        <v>1.8599999999999998E-2</v>
      </c>
      <c r="N31" s="172">
        <v>2.06E-2</v>
      </c>
    </row>
    <row r="32" spans="1:14" x14ac:dyDescent="0.25">
      <c r="D32" s="177"/>
      <c r="E32" s="37"/>
      <c r="F32" s="37"/>
      <c r="G32" s="37"/>
      <c r="H32" s="37"/>
      <c r="I32" s="37"/>
      <c r="J32" s="37"/>
      <c r="K32" s="37"/>
      <c r="L32" s="37"/>
      <c r="M32" s="37"/>
      <c r="N32" s="277"/>
    </row>
    <row r="33" spans="1:14" ht="15.75" x14ac:dyDescent="0.25">
      <c r="A33" s="169" t="s">
        <v>74</v>
      </c>
      <c r="B33" s="173" t="s">
        <v>161</v>
      </c>
      <c r="D33" s="133" t="s">
        <v>139</v>
      </c>
      <c r="E33" s="202">
        <v>0.36199999999999999</v>
      </c>
      <c r="F33" s="202">
        <v>0.72399999999999998</v>
      </c>
      <c r="G33" s="202">
        <v>1.085</v>
      </c>
      <c r="H33" s="202">
        <v>1.4470000000000001</v>
      </c>
      <c r="I33" s="202">
        <v>1.8089999999999999</v>
      </c>
      <c r="J33" s="202">
        <v>2.17</v>
      </c>
      <c r="K33" s="202">
        <v>2.532</v>
      </c>
      <c r="L33" s="202">
        <v>2.8940000000000001</v>
      </c>
      <c r="M33" s="202">
        <v>3.2549999999999999</v>
      </c>
      <c r="N33" s="172">
        <v>3.617</v>
      </c>
    </row>
    <row r="34" spans="1:14" ht="60" x14ac:dyDescent="0.25">
      <c r="A34" s="168" t="s">
        <v>300</v>
      </c>
      <c r="B34" s="173" t="s">
        <v>459</v>
      </c>
      <c r="D34" s="133" t="s">
        <v>144</v>
      </c>
      <c r="E34" s="202">
        <v>0.19500000000000001</v>
      </c>
      <c r="F34" s="202">
        <v>0.39100000000000001</v>
      </c>
      <c r="G34" s="202">
        <v>0.58599999999999997</v>
      </c>
      <c r="H34" s="202">
        <v>0.78100000000000003</v>
      </c>
      <c r="I34" s="202">
        <v>0.97599999999999998</v>
      </c>
      <c r="J34" s="202">
        <v>1.1719999999999999</v>
      </c>
      <c r="K34" s="202">
        <v>1.367</v>
      </c>
      <c r="L34" s="202">
        <v>1.5620000000000001</v>
      </c>
      <c r="M34" s="202">
        <v>1.7569999999999999</v>
      </c>
      <c r="N34" s="172">
        <v>1.9530000000000001</v>
      </c>
    </row>
    <row r="35" spans="1:14" ht="45" x14ac:dyDescent="0.25">
      <c r="A35" s="168" t="s">
        <v>301</v>
      </c>
      <c r="B35" s="36"/>
      <c r="D35" s="133" t="s">
        <v>145</v>
      </c>
      <c r="E35" s="202">
        <v>0.251</v>
      </c>
      <c r="F35" s="202">
        <v>0.501</v>
      </c>
      <c r="G35" s="202">
        <v>0.752</v>
      </c>
      <c r="H35" s="202">
        <v>1.002</v>
      </c>
      <c r="I35" s="202">
        <v>1.2529999999999999</v>
      </c>
      <c r="J35" s="202">
        <v>1.5029999999999999</v>
      </c>
      <c r="K35" s="202">
        <v>1.754</v>
      </c>
      <c r="L35" s="202">
        <v>2.004</v>
      </c>
      <c r="M35" s="202">
        <v>2.2549999999999999</v>
      </c>
      <c r="N35" s="172">
        <v>2.5049999999999999</v>
      </c>
    </row>
    <row r="36" spans="1:14" ht="30.75" thickBot="1" x14ac:dyDescent="0.3">
      <c r="D36" s="134" t="s">
        <v>168</v>
      </c>
      <c r="E36" s="274">
        <v>2.3999999999999998E-3</v>
      </c>
      <c r="F36" s="274">
        <v>4.7999999999999996E-3</v>
      </c>
      <c r="G36" s="274">
        <v>7.1999999999999998E-3</v>
      </c>
      <c r="H36" s="274">
        <v>9.5999999999999992E-3</v>
      </c>
      <c r="I36" s="274">
        <v>1.2E-2</v>
      </c>
      <c r="J36" s="274">
        <v>1.44E-2</v>
      </c>
      <c r="K36" s="274">
        <v>1.6799999999999999E-2</v>
      </c>
      <c r="L36" s="274">
        <v>1.9199999999999998E-2</v>
      </c>
      <c r="M36" s="274">
        <v>2.1600000000000001E-2</v>
      </c>
      <c r="N36" s="275">
        <v>2.4E-2</v>
      </c>
    </row>
    <row r="37" spans="1:14" ht="15.75" thickBot="1" x14ac:dyDescent="0.3"/>
    <row r="38" spans="1:14" ht="45" x14ac:dyDescent="0.25">
      <c r="A38" s="168" t="s">
        <v>73</v>
      </c>
      <c r="B38" s="173" t="s">
        <v>161</v>
      </c>
      <c r="D38" s="52" t="s">
        <v>494</v>
      </c>
      <c r="E38" s="276">
        <v>0.5</v>
      </c>
      <c r="F38" s="98">
        <v>1</v>
      </c>
      <c r="G38" s="98">
        <v>5</v>
      </c>
      <c r="H38" s="98">
        <v>10</v>
      </c>
      <c r="I38" s="98">
        <v>20</v>
      </c>
      <c r="J38" s="98">
        <v>30</v>
      </c>
      <c r="K38" s="98">
        <v>60</v>
      </c>
      <c r="L38" s="98">
        <v>90</v>
      </c>
      <c r="M38" s="98">
        <v>120</v>
      </c>
      <c r="N38" s="125">
        <v>150</v>
      </c>
    </row>
    <row r="39" spans="1:14" ht="60" x14ac:dyDescent="0.25">
      <c r="A39" s="168" t="s">
        <v>19</v>
      </c>
      <c r="B39" s="173" t="s">
        <v>459</v>
      </c>
      <c r="C39" s="12" t="s">
        <v>493</v>
      </c>
      <c r="D39" s="133" t="s">
        <v>139</v>
      </c>
      <c r="E39" s="202">
        <v>2.3919999999999999</v>
      </c>
      <c r="F39" s="202">
        <v>1.952</v>
      </c>
      <c r="G39" s="202">
        <v>1.6</v>
      </c>
      <c r="H39" s="202">
        <v>1.556</v>
      </c>
      <c r="I39" s="202">
        <v>1.534</v>
      </c>
      <c r="J39" s="202">
        <v>1.526</v>
      </c>
      <c r="K39" s="202">
        <v>1.5189999999999999</v>
      </c>
      <c r="L39" s="202">
        <v>1.516</v>
      </c>
      <c r="M39" s="202">
        <v>1.5149999999999999</v>
      </c>
      <c r="N39" s="172">
        <v>1.514</v>
      </c>
    </row>
    <row r="40" spans="1:14" ht="30" x14ac:dyDescent="0.25">
      <c r="A40" s="168" t="s">
        <v>20</v>
      </c>
      <c r="B40" s="36"/>
      <c r="D40" s="133" t="s">
        <v>144</v>
      </c>
      <c r="E40" s="202">
        <v>1.2909999999999999</v>
      </c>
      <c r="F40" s="202">
        <v>1.054</v>
      </c>
      <c r="G40" s="202">
        <v>0.86399999999999999</v>
      </c>
      <c r="H40" s="202">
        <v>0.84</v>
      </c>
      <c r="I40" s="202">
        <v>0.82799999999999996</v>
      </c>
      <c r="J40" s="202">
        <v>0.82399999999999995</v>
      </c>
      <c r="K40" s="202">
        <v>0.82</v>
      </c>
      <c r="L40" s="202">
        <v>0.81899999999999995</v>
      </c>
      <c r="M40" s="202">
        <v>0.81799999999999995</v>
      </c>
      <c r="N40" s="172">
        <v>0.81799999999999995</v>
      </c>
    </row>
    <row r="41" spans="1:14" x14ac:dyDescent="0.25">
      <c r="D41" s="133" t="s">
        <v>145</v>
      </c>
      <c r="E41" s="202">
        <v>1.657</v>
      </c>
      <c r="F41" s="202">
        <v>1.3520000000000001</v>
      </c>
      <c r="G41" s="202">
        <v>1.1080000000000001</v>
      </c>
      <c r="H41" s="202">
        <v>1.077</v>
      </c>
      <c r="I41" s="202">
        <v>1.0620000000000001</v>
      </c>
      <c r="J41" s="202">
        <v>1.0569999999999999</v>
      </c>
      <c r="K41" s="202">
        <v>1.052</v>
      </c>
      <c r="L41" s="202">
        <v>1.05</v>
      </c>
      <c r="M41" s="202">
        <v>1.05</v>
      </c>
      <c r="N41" s="172">
        <v>1.0489999999999999</v>
      </c>
    </row>
    <row r="42" spans="1:14" ht="30.75" thickBot="1" x14ac:dyDescent="0.3">
      <c r="D42" s="134" t="s">
        <v>168</v>
      </c>
      <c r="E42" s="274">
        <v>1.5900000000000001E-2</v>
      </c>
      <c r="F42" s="274">
        <v>1.29E-2</v>
      </c>
      <c r="G42" s="274">
        <v>1.06E-2</v>
      </c>
      <c r="H42" s="274">
        <v>1.03E-2</v>
      </c>
      <c r="I42" s="274">
        <v>1.0200000000000001E-2</v>
      </c>
      <c r="J42" s="274">
        <v>1.01E-2</v>
      </c>
      <c r="K42" s="274">
        <v>1.01E-2</v>
      </c>
      <c r="L42" s="274">
        <v>1.01E-2</v>
      </c>
      <c r="M42" s="274">
        <v>0.01</v>
      </c>
      <c r="N42" s="275">
        <v>0.01</v>
      </c>
    </row>
    <row r="43" spans="1:14" ht="15.75" thickBot="1" x14ac:dyDescent="0.3"/>
    <row r="44" spans="1:14" ht="15.75" x14ac:dyDescent="0.25">
      <c r="A44" s="169" t="s">
        <v>74</v>
      </c>
      <c r="B44" s="173" t="s">
        <v>161</v>
      </c>
      <c r="D44" s="278" t="s">
        <v>139</v>
      </c>
      <c r="E44" s="183">
        <v>14.944000000000001</v>
      </c>
      <c r="F44" s="183">
        <v>8.0310000000000006</v>
      </c>
      <c r="G44" s="183">
        <v>2.5</v>
      </c>
      <c r="H44" s="183">
        <v>1.8089999999999999</v>
      </c>
      <c r="I44" s="183">
        <v>1.4630000000000001</v>
      </c>
      <c r="J44" s="183">
        <v>1.3480000000000001</v>
      </c>
      <c r="K44" s="183">
        <v>1.2330000000000001</v>
      </c>
      <c r="L44" s="183">
        <v>1.194</v>
      </c>
      <c r="M44" s="183">
        <v>1.175</v>
      </c>
      <c r="N44" s="184">
        <v>1.163</v>
      </c>
    </row>
    <row r="45" spans="1:14" ht="60" x14ac:dyDescent="0.25">
      <c r="A45" s="168" t="s">
        <v>300</v>
      </c>
      <c r="B45" s="173" t="s">
        <v>459</v>
      </c>
      <c r="D45" s="133" t="s">
        <v>144</v>
      </c>
      <c r="E45" s="202">
        <v>8.0679999999999996</v>
      </c>
      <c r="F45" s="202">
        <v>4.3360000000000003</v>
      </c>
      <c r="G45" s="202">
        <v>1.35</v>
      </c>
      <c r="H45" s="202">
        <v>0.97599999999999998</v>
      </c>
      <c r="I45" s="202">
        <v>0.79</v>
      </c>
      <c r="J45" s="202">
        <v>0.72799999999999998</v>
      </c>
      <c r="K45" s="202">
        <v>0.66500000000000004</v>
      </c>
      <c r="L45" s="202">
        <v>0.64500000000000002</v>
      </c>
      <c r="M45" s="202">
        <v>0.63400000000000001</v>
      </c>
      <c r="N45" s="172">
        <v>0.628</v>
      </c>
    </row>
    <row r="46" spans="1:14" ht="45" x14ac:dyDescent="0.25">
      <c r="A46" s="168" t="s">
        <v>301</v>
      </c>
      <c r="B46" s="36"/>
      <c r="D46" s="133" t="s">
        <v>145</v>
      </c>
      <c r="E46" s="202">
        <v>10.352</v>
      </c>
      <c r="F46" s="202">
        <v>5.5629999999999997</v>
      </c>
      <c r="G46" s="202">
        <v>1.732</v>
      </c>
      <c r="H46" s="202">
        <v>1.2529999999999999</v>
      </c>
      <c r="I46" s="202">
        <v>1.0129999999999999</v>
      </c>
      <c r="J46" s="202">
        <v>0.93400000000000005</v>
      </c>
      <c r="K46" s="202">
        <v>0.85399999999999998</v>
      </c>
      <c r="L46" s="202">
        <v>0.82699999999999996</v>
      </c>
      <c r="M46" s="202">
        <v>0.81399999999999995</v>
      </c>
      <c r="N46" s="172">
        <v>0.80600000000000005</v>
      </c>
    </row>
    <row r="47" spans="1:14" ht="30.75" thickBot="1" x14ac:dyDescent="0.3">
      <c r="D47" s="134" t="s">
        <v>168</v>
      </c>
      <c r="E47" s="274">
        <v>9.9099999999999994E-2</v>
      </c>
      <c r="F47" s="274">
        <v>5.33E-2</v>
      </c>
      <c r="G47" s="274">
        <v>1.66E-2</v>
      </c>
      <c r="H47" s="274">
        <v>1.2E-2</v>
      </c>
      <c r="I47" s="274">
        <v>9.7000000000000003E-3</v>
      </c>
      <c r="J47" s="274">
        <v>8.8999999999999999E-3</v>
      </c>
      <c r="K47" s="274">
        <v>8.2000000000000007E-3</v>
      </c>
      <c r="L47" s="274">
        <v>7.9000000000000008E-3</v>
      </c>
      <c r="M47" s="274">
        <v>7.7999999999999996E-3</v>
      </c>
      <c r="N47" s="275">
        <v>7.7000000000000002E-3</v>
      </c>
    </row>
    <row r="48" spans="1:14" ht="15.75" thickBot="1" x14ac:dyDescent="0.3"/>
    <row r="49" spans="1:14" ht="60" x14ac:dyDescent="0.25">
      <c r="A49" s="168" t="s">
        <v>73</v>
      </c>
      <c r="B49" s="173" t="s">
        <v>161</v>
      </c>
      <c r="D49" s="52" t="s">
        <v>495</v>
      </c>
      <c r="E49" s="276">
        <v>500</v>
      </c>
      <c r="F49" s="98">
        <v>1000</v>
      </c>
      <c r="G49" s="98">
        <v>2000</v>
      </c>
      <c r="H49" s="98">
        <v>3000</v>
      </c>
      <c r="I49" s="98">
        <v>4000</v>
      </c>
      <c r="J49" s="98">
        <v>5000</v>
      </c>
      <c r="K49" s="98">
        <v>7000</v>
      </c>
      <c r="L49" s="98">
        <v>9000</v>
      </c>
      <c r="M49" s="98">
        <v>11000</v>
      </c>
      <c r="N49" s="125">
        <v>13000</v>
      </c>
    </row>
    <row r="50" spans="1:14" ht="60" x14ac:dyDescent="0.25">
      <c r="A50" s="168" t="s">
        <v>19</v>
      </c>
      <c r="B50" s="173" t="s">
        <v>459</v>
      </c>
      <c r="C50" s="12" t="s">
        <v>493</v>
      </c>
      <c r="D50" s="133" t="s">
        <v>139</v>
      </c>
      <c r="E50" s="202">
        <v>0.15</v>
      </c>
      <c r="F50" s="202">
        <v>0.253</v>
      </c>
      <c r="G50" s="202">
        <v>0.46</v>
      </c>
      <c r="H50" s="202">
        <v>0.66700000000000004</v>
      </c>
      <c r="I50" s="202">
        <v>0.873</v>
      </c>
      <c r="J50" s="202">
        <v>1.08</v>
      </c>
      <c r="K50" s="202">
        <v>1.494</v>
      </c>
      <c r="L50" s="202">
        <v>1.907</v>
      </c>
      <c r="M50" s="202">
        <v>2.3199999999999998</v>
      </c>
      <c r="N50" s="172">
        <v>2.734</v>
      </c>
    </row>
    <row r="51" spans="1:14" ht="30" x14ac:dyDescent="0.25">
      <c r="A51" s="168" t="s">
        <v>20</v>
      </c>
      <c r="B51" s="36"/>
      <c r="D51" s="133" t="s">
        <v>144</v>
      </c>
      <c r="E51" s="202">
        <v>8.1000000000000003E-2</v>
      </c>
      <c r="F51" s="202">
        <v>0.13700000000000001</v>
      </c>
      <c r="G51" s="202">
        <v>0.248</v>
      </c>
      <c r="H51" s="202">
        <v>0.36</v>
      </c>
      <c r="I51" s="202">
        <v>0.47199999999999998</v>
      </c>
      <c r="J51" s="202">
        <v>0.58299999999999996</v>
      </c>
      <c r="K51" s="202">
        <v>0.80600000000000005</v>
      </c>
      <c r="L51" s="202">
        <v>1.0289999999999999</v>
      </c>
      <c r="M51" s="202">
        <v>1.2529999999999999</v>
      </c>
      <c r="N51" s="172">
        <v>1.476</v>
      </c>
    </row>
    <row r="52" spans="1:14" x14ac:dyDescent="0.25">
      <c r="D52" s="133" t="s">
        <v>145</v>
      </c>
      <c r="E52" s="202">
        <v>0.104</v>
      </c>
      <c r="F52" s="202">
        <v>0.17599999999999999</v>
      </c>
      <c r="G52" s="202">
        <v>0.31900000000000001</v>
      </c>
      <c r="H52" s="202">
        <v>0.46200000000000002</v>
      </c>
      <c r="I52" s="202">
        <v>0.60499999999999998</v>
      </c>
      <c r="J52" s="202">
        <v>0.748</v>
      </c>
      <c r="K52" s="202">
        <v>1.0349999999999999</v>
      </c>
      <c r="L52" s="202">
        <v>1.321</v>
      </c>
      <c r="M52" s="202">
        <v>1.607</v>
      </c>
      <c r="N52" s="172">
        <v>1.8939999999999999</v>
      </c>
    </row>
    <row r="53" spans="1:14" ht="30.75" thickBot="1" x14ac:dyDescent="0.3">
      <c r="D53" s="134" t="s">
        <v>168</v>
      </c>
      <c r="E53" s="274">
        <v>1E-3</v>
      </c>
      <c r="F53" s="274">
        <v>1.6999999999999999E-3</v>
      </c>
      <c r="G53" s="274">
        <v>3.0999999999999999E-3</v>
      </c>
      <c r="H53" s="274">
        <v>4.4000000000000003E-3</v>
      </c>
      <c r="I53" s="274">
        <v>5.7999999999999996E-3</v>
      </c>
      <c r="J53" s="274">
        <v>7.1999999999999998E-3</v>
      </c>
      <c r="K53" s="274">
        <v>9.9000000000000008E-3</v>
      </c>
      <c r="L53" s="274">
        <v>1.26E-2</v>
      </c>
      <c r="M53" s="274">
        <v>1.54E-2</v>
      </c>
      <c r="N53" s="275">
        <v>1.8100000000000002E-2</v>
      </c>
    </row>
    <row r="54" spans="1:14" ht="15.75" thickBot="1" x14ac:dyDescent="0.3"/>
    <row r="55" spans="1:14" ht="15.75" x14ac:dyDescent="0.25">
      <c r="A55" s="169" t="s">
        <v>74</v>
      </c>
      <c r="B55" s="173" t="s">
        <v>161</v>
      </c>
      <c r="D55" s="278" t="s">
        <v>139</v>
      </c>
      <c r="E55" s="183">
        <v>0.76800000000000002</v>
      </c>
      <c r="F55" s="183">
        <v>0.84499999999999997</v>
      </c>
      <c r="G55" s="183">
        <v>0.998</v>
      </c>
      <c r="H55" s="183">
        <v>1.151</v>
      </c>
      <c r="I55" s="183">
        <v>1.304</v>
      </c>
      <c r="J55" s="183">
        <v>1.4570000000000001</v>
      </c>
      <c r="K55" s="183">
        <v>1.7629999999999999</v>
      </c>
      <c r="L55" s="183">
        <v>2.069</v>
      </c>
      <c r="M55" s="183">
        <v>2.375</v>
      </c>
      <c r="N55" s="184">
        <v>2.681</v>
      </c>
    </row>
    <row r="56" spans="1:14" ht="60" x14ac:dyDescent="0.25">
      <c r="A56" s="168" t="s">
        <v>300</v>
      </c>
      <c r="B56" s="173" t="s">
        <v>459</v>
      </c>
      <c r="D56" s="133" t="s">
        <v>144</v>
      </c>
      <c r="E56" s="202">
        <v>0.41499999999999998</v>
      </c>
      <c r="F56" s="202">
        <v>0.45600000000000002</v>
      </c>
      <c r="G56" s="202">
        <v>0.53900000000000003</v>
      </c>
      <c r="H56" s="202">
        <v>0.621</v>
      </c>
      <c r="I56" s="202">
        <v>0.70399999999999996</v>
      </c>
      <c r="J56" s="202">
        <v>0.78600000000000003</v>
      </c>
      <c r="K56" s="202">
        <v>0.95199999999999996</v>
      </c>
      <c r="L56" s="202">
        <v>1.117</v>
      </c>
      <c r="M56" s="202">
        <v>1.282</v>
      </c>
      <c r="N56" s="172">
        <v>1.4470000000000001</v>
      </c>
    </row>
    <row r="57" spans="1:14" ht="45" x14ac:dyDescent="0.25">
      <c r="A57" s="168" t="s">
        <v>301</v>
      </c>
      <c r="B57" s="36"/>
      <c r="D57" s="133" t="s">
        <v>145</v>
      </c>
      <c r="E57" s="202">
        <v>0.53200000000000003</v>
      </c>
      <c r="F57" s="202">
        <v>0.58499999999999996</v>
      </c>
      <c r="G57" s="202">
        <v>0.69099999999999995</v>
      </c>
      <c r="H57" s="202">
        <v>0.79700000000000004</v>
      </c>
      <c r="I57" s="202">
        <v>0.90300000000000002</v>
      </c>
      <c r="J57" s="202">
        <v>1.0089999999999999</v>
      </c>
      <c r="K57" s="202">
        <v>1.2210000000000001</v>
      </c>
      <c r="L57" s="202">
        <v>1.4330000000000001</v>
      </c>
      <c r="M57" s="202">
        <v>1.645</v>
      </c>
      <c r="N57" s="172">
        <v>1.857</v>
      </c>
    </row>
    <row r="58" spans="1:14" ht="30.75" thickBot="1" x14ac:dyDescent="0.3">
      <c r="D58" s="134" t="s">
        <v>168</v>
      </c>
      <c r="E58" s="274">
        <v>5.1000000000000004E-3</v>
      </c>
      <c r="F58" s="274">
        <v>5.5999999999999999E-3</v>
      </c>
      <c r="G58" s="274">
        <v>6.6E-3</v>
      </c>
      <c r="H58" s="274">
        <v>7.6E-3</v>
      </c>
      <c r="I58" s="274">
        <v>8.6E-3</v>
      </c>
      <c r="J58" s="274">
        <v>9.7000000000000003E-3</v>
      </c>
      <c r="K58" s="274">
        <v>1.17E-2</v>
      </c>
      <c r="L58" s="274">
        <v>1.37E-2</v>
      </c>
      <c r="M58" s="274">
        <v>1.5699999999999999E-2</v>
      </c>
      <c r="N58" s="275">
        <v>1.78E-2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Trade Study</vt:lpstr>
      <vt:lpstr>Propulsion Subsystem Sizing</vt:lpstr>
      <vt:lpstr>Gas Data</vt:lpstr>
      <vt:lpstr>ADN Prop Data</vt:lpstr>
      <vt:lpstr>LV Accuracies</vt:lpstr>
      <vt:lpstr>EP Data</vt:lpstr>
      <vt:lpstr>Component Listing</vt:lpstr>
      <vt:lpstr>Plots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Kevin</cp:lastModifiedBy>
  <dcterms:created xsi:type="dcterms:W3CDTF">2011-06-21T23:25:56Z</dcterms:created>
  <dcterms:modified xsi:type="dcterms:W3CDTF">2011-07-23T04:06:41Z</dcterms:modified>
</cp:coreProperties>
</file>